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BB38B358-5319-479B-8F53-0E4DF278FC1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Specs!$B$1:$AE$21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9" i="100" l="1"/>
  <c r="AG10" i="100"/>
  <c r="AG11" i="100"/>
  <c r="I9" i="100"/>
  <c r="I10" i="100"/>
  <c r="I11" i="100"/>
  <c r="H9" i="100"/>
  <c r="H10" i="100"/>
  <c r="H11" i="100"/>
  <c r="G9" i="100"/>
  <c r="G10" i="100"/>
  <c r="G11" i="100"/>
  <c r="F9" i="100"/>
  <c r="F10" i="100"/>
  <c r="F11" i="100"/>
  <c r="C9" i="100"/>
  <c r="C10" i="100"/>
  <c r="C11" i="100"/>
  <c r="B9" i="100"/>
  <c r="B10" i="100"/>
  <c r="M10" i="100" s="1"/>
  <c r="B11" i="100"/>
  <c r="L11" i="100" s="1"/>
  <c r="Q9" i="100"/>
  <c r="Q10" i="100"/>
  <c r="Q11" i="100"/>
  <c r="AE11" i="100"/>
  <c r="AD11" i="100"/>
  <c r="Z11" i="100"/>
  <c r="P11" i="100"/>
  <c r="O11" i="100"/>
  <c r="M11" i="100"/>
  <c r="A11" i="100"/>
  <c r="AE10" i="100"/>
  <c r="AD10" i="100"/>
  <c r="Z10" i="100"/>
  <c r="P10" i="100"/>
  <c r="O10" i="100"/>
  <c r="A10" i="100"/>
  <c r="A13" i="100"/>
  <c r="K10" i="100" l="1"/>
  <c r="L10" i="100"/>
  <c r="K11" i="100"/>
  <c r="AD13" i="100"/>
  <c r="AE13" i="100"/>
  <c r="Z13" i="100"/>
  <c r="O13" i="100"/>
  <c r="P13" i="100"/>
  <c r="M13" i="100"/>
  <c r="K13" i="100"/>
  <c r="L13" i="100"/>
  <c r="AG5" i="100"/>
  <c r="AG6" i="100"/>
  <c r="AG7" i="100"/>
  <c r="P7" i="100" s="1"/>
  <c r="AG8" i="100"/>
  <c r="I5" i="100"/>
  <c r="I6" i="100"/>
  <c r="I7" i="100"/>
  <c r="I8" i="100"/>
  <c r="H5" i="100"/>
  <c r="H6" i="100"/>
  <c r="H7" i="100"/>
  <c r="H8" i="100"/>
  <c r="G5" i="100"/>
  <c r="G6" i="100"/>
  <c r="G7" i="100"/>
  <c r="G8" i="100"/>
  <c r="F5" i="100"/>
  <c r="F6" i="100"/>
  <c r="F7" i="100"/>
  <c r="F8" i="100"/>
  <c r="C5" i="100"/>
  <c r="C6" i="100"/>
  <c r="C7" i="100"/>
  <c r="C8" i="100"/>
  <c r="B5" i="100"/>
  <c r="B6" i="100"/>
  <c r="B7" i="100"/>
  <c r="B8" i="100"/>
  <c r="Q5" i="100"/>
  <c r="Q6" i="100"/>
  <c r="Q7" i="100"/>
  <c r="O7" i="100" s="1"/>
  <c r="Q8" i="100"/>
  <c r="O8" i="100" s="1"/>
  <c r="AE8" i="100"/>
  <c r="AD8" i="100"/>
  <c r="Z8" i="100"/>
  <c r="P8" i="100"/>
  <c r="M8" i="100"/>
  <c r="L8" i="100"/>
  <c r="K8" i="100"/>
  <c r="A8" i="100"/>
  <c r="AE7" i="100"/>
  <c r="AD7" i="100"/>
  <c r="Z7" i="100"/>
  <c r="M7" i="100"/>
  <c r="L7" i="100"/>
  <c r="K7" i="100"/>
  <c r="A7" i="100"/>
  <c r="AE6" i="100"/>
  <c r="AD6" i="100"/>
  <c r="Z6" i="100"/>
  <c r="P6" i="100"/>
  <c r="O6" i="100"/>
  <c r="M6" i="100"/>
  <c r="L6" i="100"/>
  <c r="K6" i="100"/>
  <c r="A6" i="100"/>
  <c r="A12" i="100"/>
  <c r="A9" i="100"/>
  <c r="A5" i="100"/>
  <c r="K5" i="100" l="1"/>
  <c r="L5" i="100"/>
  <c r="M5" i="100"/>
  <c r="O5" i="100"/>
  <c r="P5" i="100" l="1"/>
  <c r="AD9" i="100" l="1"/>
  <c r="AE9" i="100"/>
  <c r="Z9" i="100"/>
  <c r="AD12" i="100"/>
  <c r="AE12" i="100"/>
  <c r="Z12" i="100"/>
  <c r="O9" i="100"/>
  <c r="O12" i="100"/>
  <c r="K9" i="100"/>
  <c r="L9" i="100"/>
  <c r="M9" i="100"/>
  <c r="P9" i="100"/>
  <c r="K12" i="100"/>
  <c r="M12" i="100"/>
  <c r="L12" i="100"/>
  <c r="P12" i="100"/>
  <c r="Z5" i="100"/>
  <c r="AD5" i="100"/>
  <c r="AE5" i="100"/>
</calcChain>
</file>

<file path=xl/sharedStrings.xml><?xml version="1.0" encoding="utf-8"?>
<sst xmlns="http://schemas.openxmlformats.org/spreadsheetml/2006/main" count="208" uniqueCount="81">
  <si>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</si>
  <si>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</si>
  <si>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</si>
  <si>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</si>
  <si>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</si>
  <si>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</si>
  <si>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</si>
  <si>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</si>
  <si>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</si>
  <si>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</si>
  <si>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</si>
  <si>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</si>
  <si>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</si>
  <si>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</si>
  <si>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</si>
  <si>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</si>
  <si>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</si>
  <si>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</si>
  <si>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</si>
  <si>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</si>
  <si>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</si>
  <si>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</si>
  <si>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</si>
  <si>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</si>
  <si>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</si>
  <si>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</si>
  <si>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</si>
  <si>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</si>
  <si>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</si>
  <si>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</si>
  <si>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</si>
  <si>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</si>
  <si>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</si>
  <si>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</si>
  <si>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</si>
  <si>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</si>
  <si>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</si>
  <si>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</si>
  <si>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</si>
  <si>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</si>
  <si>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</si>
  <si>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</si>
  <si>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</si>
  <si>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</si>
  <si>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</si>
  <si>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</si>
  <si>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</si>
  <si>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</si>
  <si>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</si>
  <si>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</si>
  <si>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</si>
  <si>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</si>
  <si>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</si>
  <si>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</si>
  <si>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</si>
  <si>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</si>
  <si>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</si>
  <si>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</si>
  <si>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</si>
  <si>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</si>
  <si>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</si>
  <si>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</si>
  <si>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</si>
  <si>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</si>
  <si>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</si>
  <si>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</si>
  <si>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</si>
  <si>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</si>
  <si>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</si>
  <si>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</si>
  <si>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</si>
  <si>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12x750ml C</t>
  </si>
  <si>
    <t>CORK</t>
  </si>
  <si>
    <t>Priorat</t>
  </si>
  <si>
    <t>2013</t>
  </si>
  <si>
    <t>Red</t>
  </si>
  <si>
    <t>PRIORAT</t>
  </si>
  <si>
    <t>2015</t>
  </si>
  <si>
    <t>PRIORAT RED BLEND</t>
  </si>
  <si>
    <t>8437010584268</t>
  </si>
  <si>
    <t>8437010584480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</si>
</sst>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5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"Ferrer Bobet"</f>
        <v>Ferrer Bobet</v>
      </c>
      <c r="C5" s="33" t="str">
        <f>"Priorat Vinyes Velles"</f>
        <v>Priorat Vinyes Velles</v>
      </c>
      <c r="D5" s="34">
        <v>12</v>
      </c>
      <c r="E5" s="34">
        <v>750</v>
      </c>
      <c r="F5" s="34" t="str">
        <f>"2011"</f>
        <v>2011</v>
      </c>
      <c r="G5" s="34" t="str">
        <f>"Red"</f>
        <v>Red</v>
      </c>
      <c r="H5" s="35" t="str">
        <f>"PRIORAT"</f>
        <v>PRIORAT</v>
      </c>
      <c r="I5" s="35" t="str">
        <f>"PRIORAT RED BLEND"</f>
        <v>PRIORAT RED BLEND</v>
      </c>
      <c r="J5" s="13" t="s">
        <v>72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Yes</v>
      </c>
      <c r="N5" s="9">
        <v>15</v>
      </c>
      <c r="O5" s="13" t="str">
        <f>IF(LEN(Q5)=12,"UPC",IF(LEN(Q5)&gt;12,"EAN",""))</f>
        <v>EAN</v>
      </c>
      <c r="P5" s="13" t="str">
        <f>IF(ISNUMBER(SEARCH("Gift",AG5)),"Gift Box","")</f>
        <v/>
      </c>
      <c r="Q5" s="36" t="str">
        <f>"8437010584183"</f>
        <v>8437010584183</v>
      </c>
      <c r="R5" s="36"/>
      <c r="S5" s="22">
        <v>3.42</v>
      </c>
      <c r="T5" s="22">
        <v>11.8</v>
      </c>
      <c r="U5" s="22">
        <v>3.3333299999999997</v>
      </c>
      <c r="V5" s="22">
        <v>11.5</v>
      </c>
      <c r="W5" s="22">
        <v>10</v>
      </c>
      <c r="X5" s="22">
        <v>7</v>
      </c>
      <c r="Y5" s="13">
        <v>40</v>
      </c>
      <c r="Z5" s="22">
        <f>IF(V5&gt;0,(V5*W5*X5)/1728,"")</f>
        <v>0.46585648148148145</v>
      </c>
      <c r="AA5" s="13">
        <v>7</v>
      </c>
      <c r="AB5" s="13">
        <v>5</v>
      </c>
      <c r="AC5" s="13">
        <v>35</v>
      </c>
      <c r="AD5" s="13">
        <f>IF(AB5&gt;0,AB5*X5,"")</f>
        <v>35</v>
      </c>
      <c r="AE5" s="13">
        <f>IF(Y5&gt;0,Y5*(AA5*AB5),"")</f>
        <v>1400</v>
      </c>
      <c r="AG5" s="28" t="str">
        <f>"12x750ml C"</f>
        <v>12x750ml C</v>
      </c>
    </row>
    <row r="6" spans="1:33" x14ac:dyDescent="0.25">
      <c r="A6" s="10" t="e">
        <f>IF(#REF!=0,"Hide","Show")</f>
        <v>#REF!</v>
      </c>
      <c r="B6" s="32" t="str">
        <f>"Ferrer Bobet"</f>
        <v>Ferrer Bobet</v>
      </c>
      <c r="C6" s="33" t="str">
        <f>"Priorat Vinyes Velles"</f>
        <v>Priorat Vinyes Velles</v>
      </c>
      <c r="D6" s="34">
        <v>12</v>
      </c>
      <c r="E6" s="34">
        <v>750</v>
      </c>
      <c r="F6" s="34" t="str">
        <f>"2013"</f>
        <v>2013</v>
      </c>
      <c r="G6" s="34" t="str">
        <f>"Red"</f>
        <v>Red</v>
      </c>
      <c r="H6" s="35" t="str">
        <f>"PRIORAT"</f>
        <v>PRIORAT</v>
      </c>
      <c r="I6" s="35" t="str">
        <f>"PRIORAT RED BLEND"</f>
        <v>PRIORAT RED BLEND</v>
      </c>
      <c r="J6" s="13" t="s">
        <v>72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Yes</v>
      </c>
      <c r="N6" s="9">
        <v>14.5</v>
      </c>
      <c r="O6" s="13" t="str">
        <f t="shared" ref="O6:O8" si="0">IF(LEN(Q6)=12,"UPC",IF(LEN(Q6)&gt;12,"EAN",""))</f>
        <v>EAN</v>
      </c>
      <c r="P6" s="13" t="str">
        <f t="shared" ref="P6:P8" si="1">IF(ISNUMBER(SEARCH("Gift",AG6)),"Gift Box","")</f>
        <v/>
      </c>
      <c r="Q6" s="36" t="str">
        <f>"8437010584312"</f>
        <v>8437010584312</v>
      </c>
      <c r="R6" s="36"/>
      <c r="S6" s="22">
        <v>3.42</v>
      </c>
      <c r="T6" s="22">
        <v>11.8</v>
      </c>
      <c r="U6" s="22">
        <v>3.3333299999999997</v>
      </c>
      <c r="V6" s="22">
        <v>11.5</v>
      </c>
      <c r="W6" s="22">
        <v>10</v>
      </c>
      <c r="X6" s="22">
        <v>7</v>
      </c>
      <c r="Y6" s="13">
        <v>40</v>
      </c>
      <c r="Z6" s="22">
        <f t="shared" ref="Z6:Z8" si="2">IF(V6&gt;0,(V6*W6*X6)/1728,"")</f>
        <v>0.46585648148148145</v>
      </c>
      <c r="AA6" s="13">
        <v>7</v>
      </c>
      <c r="AB6" s="13">
        <v>5</v>
      </c>
      <c r="AC6" s="13">
        <v>35</v>
      </c>
      <c r="AD6" s="13">
        <f t="shared" ref="AD6:AD8" si="3">IF(AB6&gt;0,AB6*X6,"")</f>
        <v>35</v>
      </c>
      <c r="AE6" s="13">
        <f t="shared" ref="AE6:AE8" si="4">IF(Y6&gt;0,Y6*(AA6*AB6),"")</f>
        <v>1400</v>
      </c>
      <c r="AG6" s="28" t="str">
        <f>"12x750ml C"</f>
        <v>12x750ml C</v>
      </c>
    </row>
    <row r="7" spans="1:33" x14ac:dyDescent="0.25">
      <c r="A7" s="10" t="e">
        <f>IF(#REF!=0,"Hide","Show")</f>
        <v>#REF!</v>
      </c>
      <c r="B7" s="32" t="str">
        <f>"Ferrer Bobet"</f>
        <v>Ferrer Bobet</v>
      </c>
      <c r="C7" s="33" t="str">
        <f>"Priorat Vinyes Velles"</f>
        <v>Priorat Vinyes Velles</v>
      </c>
      <c r="D7" s="34">
        <v>12</v>
      </c>
      <c r="E7" s="34">
        <v>750</v>
      </c>
      <c r="F7" s="34" t="str">
        <f>"2014"</f>
        <v>2014</v>
      </c>
      <c r="G7" s="34" t="str">
        <f>"Red"</f>
        <v>Red</v>
      </c>
      <c r="H7" s="35" t="str">
        <f>"PRIORAT"</f>
        <v>PRIORAT</v>
      </c>
      <c r="I7" s="35" t="str">
        <f>"PRIORAT RED BLEND"</f>
        <v>PRIORAT RED BLEND</v>
      </c>
      <c r="J7" s="13" t="s">
        <v>72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Yes</v>
      </c>
      <c r="N7" s="9">
        <v>14</v>
      </c>
      <c r="O7" s="13" t="str">
        <f t="shared" si="0"/>
        <v>EAN</v>
      </c>
      <c r="P7" s="13" t="str">
        <f t="shared" si="1"/>
        <v/>
      </c>
      <c r="Q7" s="36" t="str">
        <f>"8437010584367"</f>
        <v>8437010584367</v>
      </c>
      <c r="R7" s="36"/>
      <c r="S7" s="22">
        <v>3.42</v>
      </c>
      <c r="T7" s="22">
        <v>11.8</v>
      </c>
      <c r="U7" s="22">
        <v>3.3333299999999997</v>
      </c>
      <c r="V7" s="22">
        <v>11.5</v>
      </c>
      <c r="W7" s="22">
        <v>10</v>
      </c>
      <c r="X7" s="22">
        <v>7</v>
      </c>
      <c r="Y7" s="13">
        <v>40</v>
      </c>
      <c r="Z7" s="22">
        <f t="shared" si="2"/>
        <v>0.46585648148148145</v>
      </c>
      <c r="AA7" s="13">
        <v>7</v>
      </c>
      <c r="AB7" s="13">
        <v>5</v>
      </c>
      <c r="AC7" s="13">
        <v>35</v>
      </c>
      <c r="AD7" s="13">
        <f t="shared" si="3"/>
        <v>35</v>
      </c>
      <c r="AE7" s="13">
        <f t="shared" si="4"/>
        <v>1400</v>
      </c>
      <c r="AG7" s="28" t="str">
        <f>"12x750ml C"</f>
        <v>12x750ml C</v>
      </c>
    </row>
    <row r="8" spans="1:33" x14ac:dyDescent="0.25">
      <c r="A8" s="10" t="e">
        <f>IF(#REF!=0,"Hide","Show")</f>
        <v>#REF!</v>
      </c>
      <c r="B8" s="32" t="str">
        <f>"Ferrer Bobet"</f>
        <v>Ferrer Bobet</v>
      </c>
      <c r="C8" s="33" t="str">
        <f>"Priorat Vinyes Velles"</f>
        <v>Priorat Vinyes Velles</v>
      </c>
      <c r="D8" s="34">
        <v>12</v>
      </c>
      <c r="E8" s="34">
        <v>750</v>
      </c>
      <c r="F8" s="34" t="str">
        <f>"2015"</f>
        <v>2015</v>
      </c>
      <c r="G8" s="34" t="str">
        <f>"Red"</f>
        <v>Red</v>
      </c>
      <c r="H8" s="35" t="str">
        <f>"PRIORAT"</f>
        <v>PRIORAT</v>
      </c>
      <c r="I8" s="35" t="str">
        <f>"PRIORAT RED BLEND"</f>
        <v>PRIORAT RED BLEND</v>
      </c>
      <c r="J8" s="13" t="s">
        <v>72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Yes</v>
      </c>
      <c r="N8" s="9">
        <v>14.5</v>
      </c>
      <c r="O8" s="13" t="str">
        <f t="shared" si="0"/>
        <v>EAN</v>
      </c>
      <c r="P8" s="13" t="str">
        <f t="shared" si="1"/>
        <v/>
      </c>
      <c r="Q8" s="36" t="str">
        <f>"8437010584435"</f>
        <v>8437010584435</v>
      </c>
      <c r="R8" s="36"/>
      <c r="S8" s="22">
        <v>3.42</v>
      </c>
      <c r="T8" s="22">
        <v>11.8</v>
      </c>
      <c r="U8" s="22">
        <v>3.3333299999999997</v>
      </c>
      <c r="V8" s="22">
        <v>11.5</v>
      </c>
      <c r="W8" s="22">
        <v>10</v>
      </c>
      <c r="X8" s="22">
        <v>7</v>
      </c>
      <c r="Y8" s="13">
        <v>40</v>
      </c>
      <c r="Z8" s="22">
        <f t="shared" si="2"/>
        <v>0.46585648148148145</v>
      </c>
      <c r="AA8" s="13">
        <v>7</v>
      </c>
      <c r="AB8" s="13">
        <v>5</v>
      </c>
      <c r="AC8" s="13">
        <v>35</v>
      </c>
      <c r="AD8" s="13">
        <f t="shared" si="3"/>
        <v>35</v>
      </c>
      <c r="AE8" s="13">
        <f t="shared" si="4"/>
        <v>1400</v>
      </c>
      <c r="AG8" s="28" t="str">
        <f>"12x750ml C"</f>
        <v>12x750ml C</v>
      </c>
    </row>
    <row r="9" spans="1:33" x14ac:dyDescent="0.25">
      <c r="A9" s="10" t="e">
        <f>IF(#REF!=0,"Hide","Show")</f>
        <v>#REF!</v>
      </c>
      <c r="B9" s="32" t="str">
        <f>"Ferrer Bobet"</f>
        <v>Ferrer Bobet</v>
      </c>
      <c r="C9" s="33" t="str">
        <f>"Seleccio Especial"</f>
        <v>Seleccio Especial</v>
      </c>
      <c r="D9" s="34">
        <v>6</v>
      </c>
      <c r="E9" s="34">
        <v>750</v>
      </c>
      <c r="F9" s="34" t="str">
        <f>"2007"</f>
        <v>2007</v>
      </c>
      <c r="G9" s="34" t="str">
        <f>"Red"</f>
        <v>Red</v>
      </c>
      <c r="H9" s="35" t="str">
        <f>"PRIORAT"</f>
        <v>PRIORAT</v>
      </c>
      <c r="I9" s="35" t="str">
        <f>"CARIGNANE"</f>
        <v>CARIGNANE</v>
      </c>
      <c r="J9" s="13" t="s">
        <v>72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Yes</v>
      </c>
      <c r="N9" s="9">
        <v>14.5</v>
      </c>
      <c r="O9" s="13" t="str">
        <f t="shared" ref="O9:O12" si="5">IF(LEN(Q9)=12,"UPC",IF(LEN(Q9)&gt;12,"EAN",""))</f>
        <v/>
      </c>
      <c r="P9" s="13" t="str">
        <f t="shared" ref="P9:P12" si="6">IF(ISNUMBER(SEARCH("Gift",AG9)),"Gift Box","")</f>
        <v/>
      </c>
      <c r="Q9" s="36" t="str">
        <f>"NO UPC CODE"</f>
        <v>NO UPC CODE</v>
      </c>
      <c r="R9" s="36"/>
      <c r="S9" s="22">
        <v>0</v>
      </c>
      <c r="T9" s="22">
        <v>0</v>
      </c>
      <c r="U9" s="22">
        <v>0</v>
      </c>
      <c r="V9" s="22">
        <v>12</v>
      </c>
      <c r="W9" s="22">
        <v>11</v>
      </c>
      <c r="X9" s="22">
        <v>7</v>
      </c>
      <c r="Y9" s="13">
        <v>28</v>
      </c>
      <c r="Z9" s="22">
        <f t="shared" ref="Z9:Z12" si="7">IF(V9&gt;0,(V9*W9*X9)/1728,"")</f>
        <v>0.53472222222222221</v>
      </c>
      <c r="AA9" s="13">
        <v>10</v>
      </c>
      <c r="AB9" s="13">
        <v>7</v>
      </c>
      <c r="AC9" s="13">
        <v>70</v>
      </c>
      <c r="AD9" s="13">
        <f t="shared" ref="AD9:AD12" si="8">IF(AB9&gt;0,AB9*X9,"")</f>
        <v>49</v>
      </c>
      <c r="AE9" s="13">
        <f t="shared" ref="AE9:AE12" si="9">IF(Y9&gt;0,Y9*(AA9*AB9),"")</f>
        <v>1960</v>
      </c>
      <c r="AG9" s="28" t="str">
        <f>"6x750ml W"</f>
        <v>6x750ml W</v>
      </c>
    </row>
    <row r="10" spans="1:33" x14ac:dyDescent="0.25">
      <c r="A10" s="10" t="e">
        <f>IF(#REF!=0,"Hide","Show")</f>
        <v>#REF!</v>
      </c>
      <c r="B10" s="32" t="str">
        <f>"Ferrer Bobet"</f>
        <v>Ferrer Bobet</v>
      </c>
      <c r="C10" s="33" t="str">
        <f>"Seleccio Especial"</f>
        <v>Seleccio Especial</v>
      </c>
      <c r="D10" s="34">
        <v>6</v>
      </c>
      <c r="E10" s="34">
        <v>750</v>
      </c>
      <c r="F10" s="34" t="str">
        <f>"2012"</f>
        <v>2012</v>
      </c>
      <c r="G10" s="34" t="str">
        <f>"Red"</f>
        <v>Red</v>
      </c>
      <c r="H10" s="35" t="str">
        <f>"PRIORAT"</f>
        <v>PRIORAT</v>
      </c>
      <c r="I10" s="35" t="str">
        <f>"CARIGNANE"</f>
        <v>CARIGNANE</v>
      </c>
      <c r="J10" s="13" t="s">
        <v>72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Yes</v>
      </c>
      <c r="N10" s="9">
        <v>14.5</v>
      </c>
      <c r="O10" s="13" t="str">
        <f t="shared" ref="O10:O11" si="10">IF(LEN(Q10)=12,"UPC",IF(LEN(Q10)&gt;12,"EAN",""))</f>
        <v>EAN</v>
      </c>
      <c r="P10" s="13" t="str">
        <f t="shared" ref="P10:P11" si="11">IF(ISNUMBER(SEARCH("Gift",AG10)),"Gift Box","")</f>
        <v/>
      </c>
      <c r="Q10" s="36" t="str">
        <f>"8437010584237"</f>
        <v>8437010584237</v>
      </c>
      <c r="R10" s="36"/>
      <c r="S10" s="22">
        <v>3.42</v>
      </c>
      <c r="T10" s="22">
        <v>11.8</v>
      </c>
      <c r="U10" s="22">
        <v>2.3333300000000001</v>
      </c>
      <c r="V10" s="22">
        <v>12</v>
      </c>
      <c r="W10" s="22">
        <v>11</v>
      </c>
      <c r="X10" s="22">
        <v>7</v>
      </c>
      <c r="Y10" s="13">
        <v>28</v>
      </c>
      <c r="Z10" s="22">
        <f t="shared" ref="Z10:Z11" si="12">IF(V10&gt;0,(V10*W10*X10)/1728,"")</f>
        <v>0.53472222222222221</v>
      </c>
      <c r="AA10" s="13">
        <v>10</v>
      </c>
      <c r="AB10" s="13">
        <v>7</v>
      </c>
      <c r="AC10" s="13">
        <v>70</v>
      </c>
      <c r="AD10" s="13">
        <f t="shared" ref="AD10:AD11" si="13">IF(AB10&gt;0,AB10*X10,"")</f>
        <v>49</v>
      </c>
      <c r="AE10" s="13">
        <f t="shared" ref="AE10:AE11" si="14">IF(Y10&gt;0,Y10*(AA10*AB10),"")</f>
        <v>1960</v>
      </c>
      <c r="AG10" s="28" t="str">
        <f>"6x750ml W"</f>
        <v>6x750ml W</v>
      </c>
    </row>
    <row r="11" spans="1:33" x14ac:dyDescent="0.25">
      <c r="A11" s="10" t="e">
        <f>IF(#REF!=0,"Hide","Show")</f>
        <v>#REF!</v>
      </c>
      <c r="B11" s="32" t="str">
        <f>"Ferrer Bobet"</f>
        <v>Ferrer Bobet</v>
      </c>
      <c r="C11" s="33" t="str">
        <f>"Seleccio Especial"</f>
        <v>Seleccio Especial</v>
      </c>
      <c r="D11" s="34">
        <v>6</v>
      </c>
      <c r="E11" s="34">
        <v>750</v>
      </c>
      <c r="F11" s="34" t="str">
        <f>"2014"</f>
        <v>2014</v>
      </c>
      <c r="G11" s="34" t="str">
        <f>"Red"</f>
        <v>Red</v>
      </c>
      <c r="H11" s="35" t="str">
        <f>"PRIORAT"</f>
        <v>PRIORAT</v>
      </c>
      <c r="I11" s="35" t="str">
        <f>"CARIGNANE"</f>
        <v>CARIGNANE</v>
      </c>
      <c r="J11" s="13" t="s">
        <v>72</v>
      </c>
      <c r="K11" s="13" t="str">
        <f>VLOOKUP(B11,Sheet1!$A:$D,2,FALSE)</f>
        <v>Yes</v>
      </c>
      <c r="L11" s="13" t="str">
        <f>VLOOKUP(B11,Sheet1!$A:$D,3,FALSE)</f>
        <v>No</v>
      </c>
      <c r="M11" s="13" t="str">
        <f>VLOOKUP(B11,Sheet1!$A:$D,4,FALSE)</f>
        <v>Yes</v>
      </c>
      <c r="N11" s="9">
        <v>14.5</v>
      </c>
      <c r="O11" s="13" t="str">
        <f t="shared" si="10"/>
        <v>EAN</v>
      </c>
      <c r="P11" s="13" t="str">
        <f t="shared" si="11"/>
        <v/>
      </c>
      <c r="Q11" s="36" t="str">
        <f>"8437010584374"</f>
        <v>8437010584374</v>
      </c>
      <c r="R11" s="36"/>
      <c r="S11" s="22">
        <v>3.42</v>
      </c>
      <c r="T11" s="22">
        <v>11.8</v>
      </c>
      <c r="U11" s="22">
        <v>2.3333300000000001</v>
      </c>
      <c r="V11" s="22">
        <v>12</v>
      </c>
      <c r="W11" s="22">
        <v>11</v>
      </c>
      <c r="X11" s="22">
        <v>7</v>
      </c>
      <c r="Y11" s="13">
        <v>28</v>
      </c>
      <c r="Z11" s="22">
        <f t="shared" si="12"/>
        <v>0.53472222222222221</v>
      </c>
      <c r="AA11" s="13">
        <v>10</v>
      </c>
      <c r="AB11" s="13">
        <v>7</v>
      </c>
      <c r="AC11" s="13">
        <v>70</v>
      </c>
      <c r="AD11" s="13">
        <f t="shared" si="13"/>
        <v>49</v>
      </c>
      <c r="AE11" s="13">
        <f t="shared" si="14"/>
        <v>1960</v>
      </c>
      <c r="AG11" s="28" t="str">
        <f>"6x750ml W"</f>
        <v>6x750ml W</v>
      </c>
    </row>
    <row r="12" spans="1:33" x14ac:dyDescent="0.25">
      <c r="A12" s="10" t="e">
        <f>IF(#REF!=0,"Hide","Show")</f>
        <v>#REF!</v>
      </c>
      <c r="B12" s="32" t="s">
        <v>51</v>
      </c>
      <c r="C12" s="33" t="s">
        <v>73</v>
      </c>
      <c r="D12" s="34">
        <v>12</v>
      </c>
      <c r="E12" s="34">
        <v>750</v>
      </c>
      <c r="F12" s="34" t="s">
        <v>74</v>
      </c>
      <c r="G12" s="34" t="s">
        <v>75</v>
      </c>
      <c r="H12" s="35" t="s">
        <v>76</v>
      </c>
      <c r="I12" s="35" t="s">
        <v>78</v>
      </c>
      <c r="J12" s="13" t="s">
        <v>72</v>
      </c>
      <c r="K12" s="13" t="str">
        <f>VLOOKUP(B12,Sheet1!$A:$D,2,FALSE)</f>
        <v>Yes</v>
      </c>
      <c r="L12" s="13" t="str">
        <f>VLOOKUP(B12,Sheet1!$A:$D,3,FALSE)</f>
        <v>No</v>
      </c>
      <c r="M12" s="13" t="str">
        <f>VLOOKUP(B12,Sheet1!$A:$D,4,FALSE)</f>
        <v>Yes</v>
      </c>
      <c r="N12" s="9">
        <v>14.5</v>
      </c>
      <c r="O12" s="13" t="str">
        <f t="shared" si="5"/>
        <v>EAN</v>
      </c>
      <c r="P12" s="13" t="str">
        <f t="shared" si="6"/>
        <v/>
      </c>
      <c r="Q12" s="36" t="s">
        <v>79</v>
      </c>
      <c r="R12" s="36" t="s">
        <v>22</v>
      </c>
      <c r="S12" s="22">
        <v>3.42</v>
      </c>
      <c r="T12" s="22">
        <v>11.8</v>
      </c>
      <c r="U12" s="22">
        <v>3.3333299999999997</v>
      </c>
      <c r="V12" s="22">
        <v>11.5</v>
      </c>
      <c r="W12" s="22">
        <v>10</v>
      </c>
      <c r="X12" s="22">
        <v>7</v>
      </c>
      <c r="Y12" s="13">
        <v>40</v>
      </c>
      <c r="Z12" s="22">
        <f t="shared" si="7"/>
        <v>0.46585648148148145</v>
      </c>
      <c r="AA12" s="13">
        <v>7</v>
      </c>
      <c r="AB12" s="13">
        <v>5</v>
      </c>
      <c r="AC12" s="13">
        <v>35</v>
      </c>
      <c r="AD12" s="13">
        <f t="shared" si="8"/>
        <v>35</v>
      </c>
      <c r="AE12" s="13">
        <f t="shared" si="9"/>
        <v>1400</v>
      </c>
      <c r="AG12" s="28" t="s">
        <v>71</v>
      </c>
    </row>
    <row r="13" spans="1:33" x14ac:dyDescent="0.25">
      <c r="A13" s="10" t="e">
        <f>IF(#REF!=0,"Hide","Show")</f>
        <v>#REF!</v>
      </c>
      <c r="B13" s="32" t="s">
        <v>51</v>
      </c>
      <c r="C13" s="33" t="s">
        <v>73</v>
      </c>
      <c r="D13" s="34">
        <v>12</v>
      </c>
      <c r="E13" s="34">
        <v>750</v>
      </c>
      <c r="F13" s="34" t="s">
        <v>77</v>
      </c>
      <c r="G13" s="34" t="s">
        <v>75</v>
      </c>
      <c r="H13" s="35" t="s">
        <v>76</v>
      </c>
      <c r="I13" s="35" t="s">
        <v>78</v>
      </c>
      <c r="J13" s="13" t="s">
        <v>72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Yes</v>
      </c>
      <c r="N13" s="9">
        <v>14.5</v>
      </c>
      <c r="O13" s="13" t="str">
        <f t="shared" ref="O13" si="15">IF(LEN(Q13)=12,"UPC",IF(LEN(Q13)&gt;12,"EAN",""))</f>
        <v>EAN</v>
      </c>
      <c r="P13" s="13" t="str">
        <f t="shared" ref="P13" si="16">IF(ISNUMBER(SEARCH("Gift",AG13)),"Gift Box","")</f>
        <v/>
      </c>
      <c r="Q13" s="36" t="s">
        <v>80</v>
      </c>
      <c r="R13" s="36" t="s">
        <v>22</v>
      </c>
      <c r="S13" s="22">
        <v>3.42</v>
      </c>
      <c r="T13" s="22">
        <v>11.8</v>
      </c>
      <c r="U13" s="22">
        <v>3.3333299999999997</v>
      </c>
      <c r="V13" s="22">
        <v>11.5</v>
      </c>
      <c r="W13" s="22">
        <v>10</v>
      </c>
      <c r="X13" s="22">
        <v>7</v>
      </c>
      <c r="Y13" s="13">
        <v>40</v>
      </c>
      <c r="Z13" s="22">
        <f t="shared" ref="Z13" si="17">IF(V13&gt;0,(V13*W13*X13)/1728,"")</f>
        <v>0.46585648148148145</v>
      </c>
      <c r="AA13" s="13">
        <v>7</v>
      </c>
      <c r="AB13" s="13">
        <v>5</v>
      </c>
      <c r="AC13" s="13">
        <v>35</v>
      </c>
      <c r="AD13" s="13">
        <f t="shared" ref="AD13" si="18">IF(AB13&gt;0,AB13*X13,"")</f>
        <v>35</v>
      </c>
      <c r="AE13" s="13">
        <f t="shared" ref="AE13" si="19">IF(Y13&gt;0,Y13*(AA13*AB13),"")</f>
        <v>1400</v>
      </c>
      <c r="AG13" s="28" t="s">
        <v>71</v>
      </c>
    </row>
    <row r="14" spans="1:33" ht="6" customHeight="1" x14ac:dyDescent="0.25">
      <c r="B14" s="15"/>
      <c r="C14" s="12"/>
      <c r="D14" s="12"/>
      <c r="E14" s="12"/>
      <c r="F14" s="1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4"/>
      <c r="T14" s="24"/>
      <c r="U14" s="24"/>
      <c r="V14" s="24"/>
      <c r="W14" s="24"/>
      <c r="X14" s="24"/>
      <c r="Y14" s="12"/>
      <c r="Z14" s="12"/>
      <c r="AA14" s="12"/>
      <c r="AB14" s="12"/>
      <c r="AC14" s="12"/>
      <c r="AD14" s="12"/>
      <c r="AE14" s="12"/>
      <c r="AG14" s="27"/>
    </row>
    <row r="15" spans="1:33" x14ac:dyDescent="0.25">
      <c r="B15" s="16"/>
      <c r="C15" s="20"/>
      <c r="D15" s="17"/>
      <c r="E15" s="20"/>
      <c r="F15" s="17"/>
      <c r="G15" s="17"/>
      <c r="H15" s="17"/>
      <c r="I15" s="17"/>
      <c r="J15" s="17"/>
      <c r="K15" s="17"/>
      <c r="L15" s="17"/>
      <c r="M15" s="17"/>
      <c r="N15" s="20"/>
      <c r="O15" s="20"/>
      <c r="P15" s="20"/>
      <c r="Q15" s="20"/>
      <c r="R15" s="20"/>
      <c r="S15" s="25"/>
      <c r="T15" s="25"/>
      <c r="U15" s="25"/>
      <c r="V15" s="25"/>
      <c r="W15" s="25"/>
      <c r="X15" s="25"/>
      <c r="Y15" s="20"/>
      <c r="Z15" s="20"/>
      <c r="AA15" s="20"/>
      <c r="AB15" s="20"/>
      <c r="AC15" s="20"/>
      <c r="AD15" s="20"/>
      <c r="AE15" s="20"/>
      <c r="AG15" s="27"/>
    </row>
    <row r="16" spans="1:33" ht="6" customHeight="1" x14ac:dyDescent="0.25">
      <c r="B16" s="1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3"/>
      <c r="T16" s="23"/>
      <c r="U16" s="23"/>
      <c r="V16" s="23"/>
      <c r="W16" s="23"/>
      <c r="X16" s="23"/>
      <c r="Y16" s="11"/>
      <c r="Z16" s="11"/>
      <c r="AA16" s="11"/>
      <c r="AB16" s="11"/>
      <c r="AC16" s="11"/>
      <c r="AD16" s="11"/>
      <c r="AE16" s="11"/>
      <c r="AG16" s="27"/>
    </row>
    <row r="17" spans="2:33" x14ac:dyDescent="0.25">
      <c r="B17" s="10"/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2:3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8"/>
      <c r="T18" s="8"/>
      <c r="U18" s="8"/>
      <c r="V18" s="8"/>
      <c r="W18" s="8"/>
      <c r="X18" s="8"/>
      <c r="Y18" s="18"/>
      <c r="Z18" s="18"/>
      <c r="AA18" s="18"/>
      <c r="AB18" s="18"/>
      <c r="AC18" s="18"/>
      <c r="AD18" s="18"/>
      <c r="AE18" s="18"/>
      <c r="AG18" s="27"/>
    </row>
    <row r="19" spans="2:33" x14ac:dyDescent="0.25">
      <c r="E19" s="10"/>
      <c r="N19" s="10"/>
      <c r="O19" s="10"/>
      <c r="P19" s="10"/>
      <c r="Q19" s="10"/>
      <c r="R19" s="10"/>
      <c r="S19" s="6"/>
      <c r="T19" s="6"/>
      <c r="U19" s="6"/>
      <c r="V19" s="6"/>
      <c r="W19" s="6"/>
      <c r="X19" s="6"/>
      <c r="Y19" s="10"/>
      <c r="Z19" s="10"/>
      <c r="AA19" s="10"/>
      <c r="AB19" s="10"/>
      <c r="AD19" s="10"/>
      <c r="AE19" s="10"/>
      <c r="AG19" s="27"/>
    </row>
    <row r="20" spans="2:33" x14ac:dyDescent="0.25"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AG23" s="27"/>
    </row>
    <row r="24" spans="2:33" x14ac:dyDescent="0.25">
      <c r="AG24" s="27"/>
    </row>
    <row r="25" spans="2:33" x14ac:dyDescent="0.25"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9:Y9 AA9:AB9 AA12:AB12 S12:Y12">
    <cfRule type="cellIs" dxfId="3" priority="4" operator="lessThan">
      <formula>0</formula>
    </cfRule>
  </conditionalFormatting>
  <conditionalFormatting sqref="S6:Y8 AA6:AB8">
    <cfRule type="cellIs" dxfId="2" priority="3" operator="lessThan">
      <formula>0</formula>
    </cfRule>
  </conditionalFormatting>
  <conditionalFormatting sqref="S13:Y13 AA13:AB13">
    <cfRule type="cellIs" dxfId="1" priority="2" operator="lessThan">
      <formula>0</formula>
    </cfRule>
  </conditionalFormatting>
  <conditionalFormatting sqref="S10:Y11 AA10:AB11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