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BB38FA6E-ED25-4565-9A09-EA265986A95D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Specs!$B$1:$AE$25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8" i="100" l="1"/>
  <c r="AD8" i="100" l="1"/>
  <c r="AE8" i="100"/>
  <c r="Z8" i="100"/>
  <c r="O8" i="100"/>
  <c r="M8" i="100"/>
  <c r="K8" i="100"/>
  <c r="L8" i="100"/>
  <c r="P8" i="100"/>
  <c r="A11" i="100"/>
  <c r="AD11" i="100" l="1"/>
  <c r="AE11" i="100"/>
  <c r="Z11" i="100"/>
  <c r="O11" i="100"/>
  <c r="M11" i="100"/>
  <c r="L11" i="100"/>
  <c r="K11" i="100"/>
  <c r="P11" i="100"/>
  <c r="AG15" i="100"/>
  <c r="AG16" i="100"/>
  <c r="AG17" i="100"/>
  <c r="P17" i="100" s="1"/>
  <c r="I15" i="100"/>
  <c r="I16" i="100"/>
  <c r="I17" i="100"/>
  <c r="H15" i="100"/>
  <c r="H16" i="100"/>
  <c r="H17" i="100"/>
  <c r="G15" i="100"/>
  <c r="G16" i="100"/>
  <c r="G17" i="100"/>
  <c r="F15" i="100"/>
  <c r="F16" i="100"/>
  <c r="F17" i="100"/>
  <c r="C15" i="100"/>
  <c r="C16" i="100"/>
  <c r="C17" i="100"/>
  <c r="B15" i="100"/>
  <c r="B16" i="100"/>
  <c r="B17" i="100"/>
  <c r="M17" i="100" s="1"/>
  <c r="Q15" i="100"/>
  <c r="Q16" i="100"/>
  <c r="Q17" i="100"/>
  <c r="AE17" i="100"/>
  <c r="AD17" i="100"/>
  <c r="Z17" i="100"/>
  <c r="O17" i="100"/>
  <c r="A17" i="100"/>
  <c r="AE16" i="100"/>
  <c r="AD16" i="100"/>
  <c r="Z16" i="100"/>
  <c r="P16" i="100"/>
  <c r="O16" i="100"/>
  <c r="M16" i="100"/>
  <c r="L16" i="100"/>
  <c r="K16" i="100"/>
  <c r="A16" i="100"/>
  <c r="A15" i="100"/>
  <c r="A14" i="100"/>
  <c r="A13" i="100"/>
  <c r="A12" i="100"/>
  <c r="A10" i="100"/>
  <c r="A9" i="100"/>
  <c r="A7" i="100"/>
  <c r="A6" i="100"/>
  <c r="A5" i="100"/>
  <c r="K17" i="100" l="1"/>
  <c r="L17" i="100"/>
  <c r="K5" i="100"/>
  <c r="L5" i="100"/>
  <c r="M5" i="100"/>
  <c r="O5" i="100"/>
  <c r="P5" i="100" l="1"/>
  <c r="AD6" i="100" l="1"/>
  <c r="AE6" i="100"/>
  <c r="Z6" i="100"/>
  <c r="O6" i="100"/>
  <c r="M6" i="100"/>
  <c r="L6" i="100"/>
  <c r="K6" i="100"/>
  <c r="P6" i="100"/>
  <c r="Z5" i="100"/>
  <c r="AD7" i="100" l="1"/>
  <c r="Z7" i="100"/>
  <c r="AE7" i="100"/>
  <c r="O7" i="100"/>
  <c r="M7" i="100"/>
  <c r="K7" i="100"/>
  <c r="L7" i="100"/>
  <c r="P7" i="100"/>
  <c r="AD5" i="100"/>
  <c r="AE5" i="100"/>
  <c r="AD9" i="100" l="1"/>
  <c r="Z9" i="100"/>
  <c r="AE9" i="100"/>
  <c r="O9" i="100"/>
  <c r="P9" i="100"/>
  <c r="M9" i="100"/>
  <c r="K9" i="100"/>
  <c r="L9" i="100"/>
  <c r="AD10" i="100" l="1"/>
  <c r="Z10" i="100"/>
  <c r="AE10" i="100"/>
  <c r="O10" i="100"/>
  <c r="P10" i="100"/>
  <c r="M10" i="100"/>
  <c r="K10" i="100"/>
  <c r="L10" i="100"/>
  <c r="AD12" i="100" l="1"/>
  <c r="Z12" i="100"/>
  <c r="AE12" i="100"/>
  <c r="O12" i="100"/>
  <c r="M12" i="100"/>
  <c r="L12" i="100"/>
  <c r="K12" i="100"/>
  <c r="P12" i="100"/>
  <c r="AD13" i="100" l="1"/>
  <c r="Z13" i="100"/>
  <c r="AE13" i="100"/>
  <c r="O13" i="100"/>
  <c r="P13" i="100"/>
  <c r="M13" i="100"/>
  <c r="K13" i="100"/>
  <c r="L13" i="100"/>
  <c r="AD14" i="100" l="1"/>
  <c r="Z14" i="100"/>
  <c r="AE14" i="100"/>
  <c r="Z15" i="100"/>
  <c r="AE15" i="100"/>
  <c r="AD15" i="100"/>
  <c r="O14" i="100"/>
  <c r="O15" i="100"/>
  <c r="P14" i="100"/>
  <c r="M14" i="100"/>
  <c r="K14" i="100"/>
  <c r="L14" i="100"/>
  <c r="P15" i="100"/>
  <c r="M15" i="100"/>
  <c r="K15" i="100"/>
  <c r="L15" i="100"/>
</calcChain>
</file>

<file path=xl/sharedStrings.xml><?xml version="1.0" encoding="utf-8"?>
<sst xmlns="http://schemas.openxmlformats.org/spreadsheetml/2006/main" count="284" uniqueCount="106">
  <si>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</si>
  <si>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</si>
  <si>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</si>
  <si>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</si>
  <si>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</si>
  <si>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</si>
  <si>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</si>
  <si>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</si>
  <si>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</si>
  <si>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</si>
  <si>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</si>
  <si>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</si>
  <si>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</si>
  <si>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</si>
  <si>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</si>
  <si>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</si>
  <si>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</si>
  <si>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</si>
  <si>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</si>
  <si>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</si>
  <si>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</si>
  <si>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</si>
  <si>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</si>
  <si>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</si>
  <si>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</si>
  <si>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</si>
  <si>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</si>
  <si>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</si>
  <si>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</si>
  <si>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</si>
  <si>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</si>
  <si>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</si>
  <si>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</si>
  <si>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</si>
  <si>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</si>
  <si>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</si>
  <si>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</si>
  <si>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</si>
  <si>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</si>
  <si>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</si>
  <si>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</si>
  <si>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</si>
  <si>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</si>
  <si>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</si>
  <si>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</si>
  <si>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</si>
  <si>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</si>
  <si>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</si>
  <si>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</si>
  <si>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</si>
  <si>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</si>
  <si>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</si>
  <si>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</si>
  <si>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</si>
  <si>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</si>
  <si>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</si>
  <si>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</si>
  <si>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</si>
  <si>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</si>
  <si>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</si>
  <si>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</si>
  <si>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</si>
  <si>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</si>
  <si>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</si>
  <si>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</si>
  <si>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</si>
  <si>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</si>
  <si>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</si>
  <si>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</si>
  <si>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</si>
  <si>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</si>
  <si>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CURRENT RELEASES</t>
  </si>
  <si>
    <t>6x750ml C</t>
  </si>
  <si>
    <t>12x375ml C</t>
  </si>
  <si>
    <t>12x750ml C</t>
  </si>
  <si>
    <t>Pinot Noir Reserve</t>
  </si>
  <si>
    <t>Pinot Noir Willamette Valley</t>
  </si>
  <si>
    <t>Classico Pinot Noir</t>
  </si>
  <si>
    <t>Tavola Pinot Noir</t>
  </si>
  <si>
    <t>Pinot Noir Rose</t>
  </si>
  <si>
    <t>Pinot Gris</t>
  </si>
  <si>
    <t>Chardonnay Reserve</t>
  </si>
  <si>
    <t>Pinot Blanc</t>
  </si>
  <si>
    <t>CORK</t>
  </si>
  <si>
    <t>Screwcap</t>
  </si>
  <si>
    <t>011852049420</t>
  </si>
  <si>
    <t>011852091214</t>
  </si>
  <si>
    <t>011852049413</t>
  </si>
  <si>
    <t>011852040311</t>
  </si>
  <si>
    <t>011852039438</t>
  </si>
  <si>
    <t>011852029514</t>
  </si>
  <si>
    <t>011852039421</t>
  </si>
  <si>
    <t>011852100114</t>
  </si>
  <si>
    <t>2015</t>
  </si>
  <si>
    <t>2013</t>
  </si>
  <si>
    <t>2016</t>
  </si>
  <si>
    <t>2017</t>
  </si>
  <si>
    <t>2014</t>
  </si>
  <si>
    <t>Red</t>
  </si>
  <si>
    <t>Rose</t>
  </si>
  <si>
    <t>White</t>
  </si>
  <si>
    <t>WILLAMETTE</t>
  </si>
  <si>
    <t>PINOT NOIR</t>
  </si>
  <si>
    <t>PINOT GRIS</t>
  </si>
  <si>
    <t>CHARDONNAY</t>
  </si>
  <si>
    <t>PINOT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</si>
</sst>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9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64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64</v>
      </c>
      <c r="C5" s="33" t="s">
        <v>75</v>
      </c>
      <c r="D5" s="34">
        <v>6</v>
      </c>
      <c r="E5" s="34">
        <v>750</v>
      </c>
      <c r="F5" s="34" t="s">
        <v>93</v>
      </c>
      <c r="G5" s="34" t="s">
        <v>98</v>
      </c>
      <c r="H5" s="35" t="s">
        <v>101</v>
      </c>
      <c r="I5" s="35" t="s">
        <v>102</v>
      </c>
      <c r="J5" s="13" t="s">
        <v>83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13.9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">
        <v>85</v>
      </c>
      <c r="R5" s="36" t="s">
        <v>22</v>
      </c>
      <c r="S5" s="22">
        <v>3.375</v>
      </c>
      <c r="T5" s="22">
        <v>11.75</v>
      </c>
      <c r="U5" s="22">
        <v>3.5</v>
      </c>
      <c r="V5" s="22">
        <v>12.8</v>
      </c>
      <c r="W5" s="22">
        <v>11.5</v>
      </c>
      <c r="X5" s="22">
        <v>8</v>
      </c>
      <c r="Y5" s="13">
        <v>21</v>
      </c>
      <c r="Z5" s="22">
        <f>IF(V5&gt;0,(V5*W5*X5)/1728,"")</f>
        <v>0.68148148148148158</v>
      </c>
      <c r="AA5" s="13">
        <v>12</v>
      </c>
      <c r="AB5" s="13">
        <v>5</v>
      </c>
      <c r="AC5" s="13">
        <v>60</v>
      </c>
      <c r="AD5" s="13">
        <f>IF(AB5&gt;0,AB5*X5,"")</f>
        <v>40</v>
      </c>
      <c r="AE5" s="13">
        <f>IF(Y5&gt;0,Y5*(AA5*AB5),"")</f>
        <v>1260</v>
      </c>
      <c r="AG5" s="28" t="s">
        <v>72</v>
      </c>
    </row>
    <row r="6" spans="1:33" x14ac:dyDescent="0.25">
      <c r="A6" s="10" t="e">
        <f>IF(#REF!=0,"Hide","Show")</f>
        <v>#REF!</v>
      </c>
      <c r="B6" s="32" t="s">
        <v>64</v>
      </c>
      <c r="C6" s="33" t="s">
        <v>76</v>
      </c>
      <c r="D6" s="34">
        <v>12</v>
      </c>
      <c r="E6" s="34">
        <v>375</v>
      </c>
      <c r="F6" s="34" t="s">
        <v>94</v>
      </c>
      <c r="G6" s="34" t="s">
        <v>98</v>
      </c>
      <c r="H6" s="35" t="s">
        <v>101</v>
      </c>
      <c r="I6" s="35" t="s">
        <v>102</v>
      </c>
      <c r="J6" s="13" t="s">
        <v>83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No</v>
      </c>
      <c r="N6" s="9">
        <v>13.2</v>
      </c>
      <c r="O6" s="13" t="str">
        <f t="shared" ref="O6:O15" si="0">IF(LEN(Q6)=12,"UPC",IF(LEN(Q6)&gt;12,"EAN",""))</f>
        <v>UPC</v>
      </c>
      <c r="P6" s="13" t="str">
        <f t="shared" ref="P6:P15" si="1">IF(ISNUMBER(SEARCH("Gift",AG6)),"Gift Box","")</f>
        <v/>
      </c>
      <c r="Q6" s="36" t="s">
        <v>86</v>
      </c>
      <c r="R6" s="36" t="s">
        <v>22</v>
      </c>
      <c r="S6" s="22">
        <v>2.5</v>
      </c>
      <c r="T6" s="22">
        <v>9.5</v>
      </c>
      <c r="U6" s="22">
        <v>1.583</v>
      </c>
      <c r="V6" s="22">
        <v>11</v>
      </c>
      <c r="W6" s="22">
        <v>8.25</v>
      </c>
      <c r="X6" s="22">
        <v>10.119999999999999</v>
      </c>
      <c r="Y6" s="13">
        <v>19</v>
      </c>
      <c r="Z6" s="22">
        <f t="shared" ref="Z6:Z15" si="2">IF(V6&gt;0,(V6*W6*X6)/1728,"")</f>
        <v>0.53147569444444442</v>
      </c>
      <c r="AA6" s="13">
        <v>22</v>
      </c>
      <c r="AB6" s="13">
        <v>5</v>
      </c>
      <c r="AC6" s="13">
        <v>110</v>
      </c>
      <c r="AD6" s="13">
        <f t="shared" ref="AD6:AD15" si="3">IF(AB6&gt;0,AB6*X6,"")</f>
        <v>50.599999999999994</v>
      </c>
      <c r="AE6" s="13">
        <f t="shared" ref="AE6:AE15" si="4">IF(Y6&gt;0,Y6*(AA6*AB6),"")</f>
        <v>2090</v>
      </c>
      <c r="AG6" s="28" t="s">
        <v>73</v>
      </c>
    </row>
    <row r="7" spans="1:33" x14ac:dyDescent="0.25">
      <c r="A7" s="10" t="e">
        <f>IF(#REF!=0,"Hide","Show")</f>
        <v>#REF!</v>
      </c>
      <c r="B7" s="32" t="s">
        <v>64</v>
      </c>
      <c r="C7" s="33" t="s">
        <v>77</v>
      </c>
      <c r="D7" s="34">
        <v>12</v>
      </c>
      <c r="E7" s="34">
        <v>375</v>
      </c>
      <c r="F7" s="34" t="s">
        <v>93</v>
      </c>
      <c r="G7" s="34" t="s">
        <v>98</v>
      </c>
      <c r="H7" s="35" t="s">
        <v>101</v>
      </c>
      <c r="I7" s="35" t="s">
        <v>102</v>
      </c>
      <c r="J7" s="13" t="s">
        <v>83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No</v>
      </c>
      <c r="N7" s="9">
        <v>13.7</v>
      </c>
      <c r="O7" s="13" t="str">
        <f t="shared" si="0"/>
        <v>UPC</v>
      </c>
      <c r="P7" s="13" t="str">
        <f t="shared" si="1"/>
        <v/>
      </c>
      <c r="Q7" s="36" t="s">
        <v>86</v>
      </c>
      <c r="R7" s="36" t="s">
        <v>22</v>
      </c>
      <c r="S7" s="22">
        <v>2.5</v>
      </c>
      <c r="T7" s="22">
        <v>9.5</v>
      </c>
      <c r="U7" s="22">
        <v>1.5833299999999999</v>
      </c>
      <c r="V7" s="22">
        <v>11</v>
      </c>
      <c r="W7" s="22">
        <v>8.25</v>
      </c>
      <c r="X7" s="22">
        <v>10.119999999999999</v>
      </c>
      <c r="Y7" s="13">
        <v>19</v>
      </c>
      <c r="Z7" s="22">
        <f t="shared" si="2"/>
        <v>0.53147569444444442</v>
      </c>
      <c r="AA7" s="13">
        <v>22</v>
      </c>
      <c r="AB7" s="13">
        <v>5</v>
      </c>
      <c r="AC7" s="13">
        <v>110</v>
      </c>
      <c r="AD7" s="13">
        <f t="shared" si="3"/>
        <v>50.599999999999994</v>
      </c>
      <c r="AE7" s="13">
        <f t="shared" si="4"/>
        <v>2090</v>
      </c>
      <c r="AG7" s="28" t="s">
        <v>73</v>
      </c>
    </row>
    <row r="8" spans="1:33" x14ac:dyDescent="0.25">
      <c r="A8" s="10" t="e">
        <f>IF(#REF!=0,"Hide","Show")</f>
        <v>#REF!</v>
      </c>
      <c r="B8" s="32" t="s">
        <v>64</v>
      </c>
      <c r="C8" s="33" t="s">
        <v>77</v>
      </c>
      <c r="D8" s="34">
        <v>12</v>
      </c>
      <c r="E8" s="34">
        <v>750</v>
      </c>
      <c r="F8" s="34" t="s">
        <v>93</v>
      </c>
      <c r="G8" s="34" t="s">
        <v>98</v>
      </c>
      <c r="H8" s="35" t="s">
        <v>101</v>
      </c>
      <c r="I8" s="35" t="s">
        <v>102</v>
      </c>
      <c r="J8" s="13" t="s">
        <v>84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No</v>
      </c>
      <c r="N8" s="9">
        <v>13.7</v>
      </c>
      <c r="O8" s="13" t="str">
        <f t="shared" ref="O8" si="5">IF(LEN(Q8)=12,"UPC",IF(LEN(Q8)&gt;12,"EAN",""))</f>
        <v>UPC</v>
      </c>
      <c r="P8" s="13" t="str">
        <f t="shared" ref="P8" si="6">IF(ISNUMBER(SEARCH("Gift",AG8)),"Gift Box","")</f>
        <v/>
      </c>
      <c r="Q8" s="36" t="s">
        <v>87</v>
      </c>
      <c r="R8" s="36" t="s">
        <v>22</v>
      </c>
      <c r="S8" s="22">
        <v>3.5</v>
      </c>
      <c r="T8" s="22">
        <v>11.62</v>
      </c>
      <c r="U8" s="22">
        <v>3.16</v>
      </c>
      <c r="V8" s="22">
        <v>14</v>
      </c>
      <c r="W8" s="22">
        <v>10.5</v>
      </c>
      <c r="X8" s="22">
        <v>12.5</v>
      </c>
      <c r="Y8" s="13">
        <v>38</v>
      </c>
      <c r="Z8" s="22">
        <f t="shared" ref="Z8" si="7">IF(V8&gt;0,(V8*W8*X8)/1728,"")</f>
        <v>1.0633680555555556</v>
      </c>
      <c r="AA8" s="13">
        <v>14</v>
      </c>
      <c r="AB8" s="13">
        <v>4</v>
      </c>
      <c r="AC8" s="13">
        <v>56</v>
      </c>
      <c r="AD8" s="13">
        <f t="shared" ref="AD8" si="8">IF(AB8&gt;0,AB8*X8,"")</f>
        <v>50</v>
      </c>
      <c r="AE8" s="13">
        <f t="shared" ref="AE8" si="9">IF(Y8&gt;0,Y8*(AA8*AB8),"")</f>
        <v>2128</v>
      </c>
      <c r="AG8" s="28" t="s">
        <v>74</v>
      </c>
    </row>
    <row r="9" spans="1:33" x14ac:dyDescent="0.25">
      <c r="A9" s="10" t="e">
        <f>IF(#REF!=0,"Hide","Show")</f>
        <v>#REF!</v>
      </c>
      <c r="B9" s="32" t="s">
        <v>64</v>
      </c>
      <c r="C9" s="33" t="s">
        <v>78</v>
      </c>
      <c r="D9" s="34">
        <v>12</v>
      </c>
      <c r="E9" s="34">
        <v>750</v>
      </c>
      <c r="F9" s="34" t="s">
        <v>95</v>
      </c>
      <c r="G9" s="34" t="s">
        <v>98</v>
      </c>
      <c r="H9" s="35" t="s">
        <v>101</v>
      </c>
      <c r="I9" s="35" t="s">
        <v>102</v>
      </c>
      <c r="J9" s="13" t="s">
        <v>84</v>
      </c>
      <c r="K9" s="13" t="str">
        <f>VLOOKUP(B9,Sheet1!$A:$D,2,FALSE)</f>
        <v>No</v>
      </c>
      <c r="L9" s="13" t="str">
        <f>VLOOKUP(B9,Sheet1!$A:$D,3,FALSE)</f>
        <v>Yes</v>
      </c>
      <c r="M9" s="13" t="str">
        <f>VLOOKUP(B9,Sheet1!$A:$D,4,FALSE)</f>
        <v>No</v>
      </c>
      <c r="N9" s="9">
        <v>13.8</v>
      </c>
      <c r="O9" s="13" t="str">
        <f t="shared" si="0"/>
        <v>UPC</v>
      </c>
      <c r="P9" s="13" t="str">
        <f t="shared" si="1"/>
        <v/>
      </c>
      <c r="Q9" s="36" t="s">
        <v>88</v>
      </c>
      <c r="R9" s="36" t="s">
        <v>22</v>
      </c>
      <c r="S9" s="22">
        <v>3.5</v>
      </c>
      <c r="T9" s="22">
        <v>11.62</v>
      </c>
      <c r="U9" s="22">
        <v>3.1666700000000003</v>
      </c>
      <c r="V9" s="22">
        <v>14</v>
      </c>
      <c r="W9" s="22">
        <v>10.5</v>
      </c>
      <c r="X9" s="22">
        <v>12.5</v>
      </c>
      <c r="Y9" s="13">
        <v>38</v>
      </c>
      <c r="Z9" s="22">
        <f t="shared" si="2"/>
        <v>1.0633680555555556</v>
      </c>
      <c r="AA9" s="13">
        <v>14</v>
      </c>
      <c r="AB9" s="13">
        <v>4</v>
      </c>
      <c r="AC9" s="13">
        <v>56</v>
      </c>
      <c r="AD9" s="13">
        <f t="shared" si="3"/>
        <v>50</v>
      </c>
      <c r="AE9" s="13">
        <f t="shared" si="4"/>
        <v>2128</v>
      </c>
      <c r="AG9" s="28" t="s">
        <v>74</v>
      </c>
    </row>
    <row r="10" spans="1:33" x14ac:dyDescent="0.25">
      <c r="A10" s="10" t="e">
        <f>IF(#REF!=0,"Hide","Show")</f>
        <v>#REF!</v>
      </c>
      <c r="B10" s="32" t="s">
        <v>64</v>
      </c>
      <c r="C10" s="33" t="s">
        <v>79</v>
      </c>
      <c r="D10" s="34">
        <v>12</v>
      </c>
      <c r="E10" s="34">
        <v>750</v>
      </c>
      <c r="F10" s="34" t="s">
        <v>95</v>
      </c>
      <c r="G10" s="34" t="s">
        <v>99</v>
      </c>
      <c r="H10" s="35" t="s">
        <v>101</v>
      </c>
      <c r="I10" s="35" t="s">
        <v>102</v>
      </c>
      <c r="J10" s="13" t="s">
        <v>83</v>
      </c>
      <c r="K10" s="13" t="str">
        <f>VLOOKUP(B10,Sheet1!$A:$D,2,FALSE)</f>
        <v>No</v>
      </c>
      <c r="L10" s="13" t="str">
        <f>VLOOKUP(B10,Sheet1!$A:$D,3,FALSE)</f>
        <v>Yes</v>
      </c>
      <c r="M10" s="13" t="str">
        <f>VLOOKUP(B10,Sheet1!$A:$D,4,FALSE)</f>
        <v>No</v>
      </c>
      <c r="N10" s="9">
        <v>13.2</v>
      </c>
      <c r="O10" s="13" t="str">
        <f t="shared" si="0"/>
        <v>UPC</v>
      </c>
      <c r="P10" s="13" t="str">
        <f t="shared" si="1"/>
        <v/>
      </c>
      <c r="Q10" s="36" t="s">
        <v>89</v>
      </c>
      <c r="R10" s="36" t="s">
        <v>22</v>
      </c>
      <c r="S10" s="22">
        <v>3.5</v>
      </c>
      <c r="T10" s="22">
        <v>11.62</v>
      </c>
      <c r="U10" s="22">
        <v>3.1666700000000003</v>
      </c>
      <c r="V10" s="22">
        <v>14</v>
      </c>
      <c r="W10" s="22">
        <v>10.5</v>
      </c>
      <c r="X10" s="22">
        <v>12.5</v>
      </c>
      <c r="Y10" s="13">
        <v>38</v>
      </c>
      <c r="Z10" s="22">
        <f t="shared" si="2"/>
        <v>1.0633680555555556</v>
      </c>
      <c r="AA10" s="13">
        <v>14</v>
      </c>
      <c r="AB10" s="13">
        <v>4</v>
      </c>
      <c r="AC10" s="13">
        <v>56</v>
      </c>
      <c r="AD10" s="13">
        <f t="shared" si="3"/>
        <v>50</v>
      </c>
      <c r="AE10" s="13">
        <f t="shared" si="4"/>
        <v>2128</v>
      </c>
      <c r="AG10" s="28" t="s">
        <v>74</v>
      </c>
    </row>
    <row r="11" spans="1:33" x14ac:dyDescent="0.25">
      <c r="A11" s="10" t="e">
        <f>IF(#REF!=0,"Hide","Show")</f>
        <v>#REF!</v>
      </c>
      <c r="B11" s="32" t="s">
        <v>64</v>
      </c>
      <c r="C11" s="33" t="s">
        <v>79</v>
      </c>
      <c r="D11" s="34">
        <v>12</v>
      </c>
      <c r="E11" s="34">
        <v>750</v>
      </c>
      <c r="F11" s="34" t="s">
        <v>96</v>
      </c>
      <c r="G11" s="34" t="s">
        <v>99</v>
      </c>
      <c r="H11" s="35" t="s">
        <v>101</v>
      </c>
      <c r="I11" s="35" t="s">
        <v>102</v>
      </c>
      <c r="J11" s="13" t="s">
        <v>83</v>
      </c>
      <c r="K11" s="13" t="str">
        <f>VLOOKUP(B11,Sheet1!$A:$D,2,FALSE)</f>
        <v>No</v>
      </c>
      <c r="L11" s="13" t="str">
        <f>VLOOKUP(B11,Sheet1!$A:$D,3,FALSE)</f>
        <v>Yes</v>
      </c>
      <c r="M11" s="13" t="str">
        <f>VLOOKUP(B11,Sheet1!$A:$D,4,FALSE)</f>
        <v>No</v>
      </c>
      <c r="N11" s="9">
        <v>13</v>
      </c>
      <c r="O11" s="13" t="str">
        <f t="shared" ref="O11" si="10">IF(LEN(Q11)=12,"UPC",IF(LEN(Q11)&gt;12,"EAN",""))</f>
        <v>UPC</v>
      </c>
      <c r="P11" s="13" t="str">
        <f t="shared" ref="P11" si="11">IF(ISNUMBER(SEARCH("Gift",AG11)),"Gift Box","")</f>
        <v/>
      </c>
      <c r="Q11" s="36" t="s">
        <v>89</v>
      </c>
      <c r="R11" s="36" t="s">
        <v>22</v>
      </c>
      <c r="S11" s="22">
        <v>3.5</v>
      </c>
      <c r="T11" s="22">
        <v>11.62</v>
      </c>
      <c r="U11" s="22">
        <v>3.1666700000000003</v>
      </c>
      <c r="V11" s="22">
        <v>14</v>
      </c>
      <c r="W11" s="22">
        <v>10.5</v>
      </c>
      <c r="X11" s="22">
        <v>12.5</v>
      </c>
      <c r="Y11" s="13">
        <v>38</v>
      </c>
      <c r="Z11" s="22">
        <f t="shared" ref="Z11" si="12">IF(V11&gt;0,(V11*W11*X11)/1728,"")</f>
        <v>1.0633680555555556</v>
      </c>
      <c r="AA11" s="13">
        <v>14</v>
      </c>
      <c r="AB11" s="13">
        <v>4</v>
      </c>
      <c r="AC11" s="13">
        <v>56</v>
      </c>
      <c r="AD11" s="13">
        <f t="shared" ref="AD11" si="13">IF(AB11&gt;0,AB11*X11,"")</f>
        <v>50</v>
      </c>
      <c r="AE11" s="13">
        <f t="shared" ref="AE11" si="14">IF(Y11&gt;0,Y11*(AA11*AB11),"")</f>
        <v>2128</v>
      </c>
      <c r="AG11" s="28" t="s">
        <v>74</v>
      </c>
    </row>
    <row r="12" spans="1:33" x14ac:dyDescent="0.25">
      <c r="A12" s="10" t="e">
        <f>IF(#REF!=0,"Hide","Show")</f>
        <v>#REF!</v>
      </c>
      <c r="B12" s="32" t="s">
        <v>64</v>
      </c>
      <c r="C12" s="33" t="s">
        <v>80</v>
      </c>
      <c r="D12" s="34">
        <v>12</v>
      </c>
      <c r="E12" s="34">
        <v>750</v>
      </c>
      <c r="F12" s="34" t="s">
        <v>96</v>
      </c>
      <c r="G12" s="34" t="s">
        <v>100</v>
      </c>
      <c r="H12" s="35" t="s">
        <v>101</v>
      </c>
      <c r="I12" s="35" t="s">
        <v>103</v>
      </c>
      <c r="J12" s="13" t="s">
        <v>83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No</v>
      </c>
      <c r="N12" s="9">
        <v>13.1</v>
      </c>
      <c r="O12" s="13" t="str">
        <f t="shared" si="0"/>
        <v>UPC</v>
      </c>
      <c r="P12" s="13" t="str">
        <f t="shared" si="1"/>
        <v/>
      </c>
      <c r="Q12" s="36" t="s">
        <v>90</v>
      </c>
      <c r="R12" s="36" t="s">
        <v>22</v>
      </c>
      <c r="S12" s="22">
        <v>3.5</v>
      </c>
      <c r="T12" s="22">
        <v>11.62</v>
      </c>
      <c r="U12" s="22">
        <v>3.16</v>
      </c>
      <c r="V12" s="22">
        <v>14</v>
      </c>
      <c r="W12" s="22">
        <v>10.5</v>
      </c>
      <c r="X12" s="22">
        <v>12.5</v>
      </c>
      <c r="Y12" s="13">
        <v>38</v>
      </c>
      <c r="Z12" s="22">
        <f t="shared" si="2"/>
        <v>1.0633680555555556</v>
      </c>
      <c r="AA12" s="13">
        <v>14</v>
      </c>
      <c r="AB12" s="13">
        <v>4</v>
      </c>
      <c r="AC12" s="13">
        <v>56</v>
      </c>
      <c r="AD12" s="13">
        <f t="shared" si="3"/>
        <v>50</v>
      </c>
      <c r="AE12" s="13">
        <f t="shared" si="4"/>
        <v>2128</v>
      </c>
      <c r="AG12" s="28" t="s">
        <v>74</v>
      </c>
    </row>
    <row r="13" spans="1:33" x14ac:dyDescent="0.25">
      <c r="A13" s="10" t="e">
        <f>IF(#REF!=0,"Hide","Show")</f>
        <v>#REF!</v>
      </c>
      <c r="B13" s="32" t="s">
        <v>64</v>
      </c>
      <c r="C13" s="33" t="s">
        <v>81</v>
      </c>
      <c r="D13" s="34">
        <v>6</v>
      </c>
      <c r="E13" s="34">
        <v>750</v>
      </c>
      <c r="F13" s="34" t="s">
        <v>97</v>
      </c>
      <c r="G13" s="34" t="s">
        <v>100</v>
      </c>
      <c r="H13" s="35" t="s">
        <v>101</v>
      </c>
      <c r="I13" s="35" t="s">
        <v>104</v>
      </c>
      <c r="J13" s="13" t="s">
        <v>83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No</v>
      </c>
      <c r="N13" s="9">
        <v>13.8</v>
      </c>
      <c r="O13" s="13" t="str">
        <f t="shared" si="0"/>
        <v>UPC</v>
      </c>
      <c r="P13" s="13" t="str">
        <f t="shared" si="1"/>
        <v/>
      </c>
      <c r="Q13" s="36" t="s">
        <v>91</v>
      </c>
      <c r="R13" s="36" t="s">
        <v>22</v>
      </c>
      <c r="S13" s="22">
        <v>3.37</v>
      </c>
      <c r="T13" s="22">
        <v>11.75</v>
      </c>
      <c r="U13" s="22">
        <v>3.5</v>
      </c>
      <c r="V13" s="22">
        <v>12.8</v>
      </c>
      <c r="W13" s="22">
        <v>11.5</v>
      </c>
      <c r="X13" s="22">
        <v>8</v>
      </c>
      <c r="Y13" s="13">
        <v>21</v>
      </c>
      <c r="Z13" s="22">
        <f t="shared" si="2"/>
        <v>0.68148148148148158</v>
      </c>
      <c r="AA13" s="13">
        <v>12</v>
      </c>
      <c r="AB13" s="13">
        <v>5</v>
      </c>
      <c r="AC13" s="13">
        <v>60</v>
      </c>
      <c r="AD13" s="13">
        <f t="shared" si="3"/>
        <v>40</v>
      </c>
      <c r="AE13" s="13">
        <f t="shared" si="4"/>
        <v>1260</v>
      </c>
      <c r="AG13" s="28" t="s">
        <v>72</v>
      </c>
    </row>
    <row r="14" spans="1:33" x14ac:dyDescent="0.25">
      <c r="A14" s="10" t="e">
        <f>IF(#REF!=0,"Hide","Show")</f>
        <v>#REF!</v>
      </c>
      <c r="B14" s="32" t="s">
        <v>64</v>
      </c>
      <c r="C14" s="33" t="s">
        <v>82</v>
      </c>
      <c r="D14" s="34">
        <v>12</v>
      </c>
      <c r="E14" s="34">
        <v>750</v>
      </c>
      <c r="F14" s="34" t="s">
        <v>95</v>
      </c>
      <c r="G14" s="34" t="s">
        <v>100</v>
      </c>
      <c r="H14" s="35" t="s">
        <v>101</v>
      </c>
      <c r="I14" s="35" t="s">
        <v>105</v>
      </c>
      <c r="J14" s="13" t="s">
        <v>83</v>
      </c>
      <c r="K14" s="13" t="str">
        <f>VLOOKUP(B14,Sheet1!$A:$D,2,FALSE)</f>
        <v>No</v>
      </c>
      <c r="L14" s="13" t="str">
        <f>VLOOKUP(B14,Sheet1!$A:$D,3,FALSE)</f>
        <v>Yes</v>
      </c>
      <c r="M14" s="13" t="str">
        <f>VLOOKUP(B14,Sheet1!$A:$D,4,FALSE)</f>
        <v>No</v>
      </c>
      <c r="N14" s="9">
        <v>13.3</v>
      </c>
      <c r="O14" s="13" t="str">
        <f t="shared" si="0"/>
        <v>UPC</v>
      </c>
      <c r="P14" s="13" t="str">
        <f t="shared" si="1"/>
        <v/>
      </c>
      <c r="Q14" s="36" t="s">
        <v>92</v>
      </c>
      <c r="R14" s="36" t="s">
        <v>22</v>
      </c>
      <c r="S14" s="22">
        <v>3.5</v>
      </c>
      <c r="T14" s="22">
        <v>11.6</v>
      </c>
      <c r="U14" s="22">
        <v>3.1666700000000003</v>
      </c>
      <c r="V14" s="22">
        <v>14</v>
      </c>
      <c r="W14" s="22">
        <v>10.5</v>
      </c>
      <c r="X14" s="22">
        <v>12.5</v>
      </c>
      <c r="Y14" s="13">
        <v>38</v>
      </c>
      <c r="Z14" s="22">
        <f t="shared" si="2"/>
        <v>1.0633680555555556</v>
      </c>
      <c r="AA14" s="13">
        <v>14</v>
      </c>
      <c r="AB14" s="13">
        <v>4</v>
      </c>
      <c r="AC14" s="13">
        <v>56</v>
      </c>
      <c r="AD14" s="13">
        <f t="shared" si="3"/>
        <v>50</v>
      </c>
      <c r="AE14" s="13">
        <f t="shared" si="4"/>
        <v>2128</v>
      </c>
      <c r="AG14" s="28" t="s">
        <v>74</v>
      </c>
    </row>
    <row r="15" spans="1:33" x14ac:dyDescent="0.25">
      <c r="A15" s="10" t="e">
        <f>IF(#REF!=0,"Hide","Show")</f>
        <v>#REF!</v>
      </c>
      <c r="B15" s="32" t="str">
        <f>"Ponzi"</f>
        <v>Ponzi</v>
      </c>
      <c r="C15" s="33" t="str">
        <f>"Arneis"</f>
        <v>Arneis</v>
      </c>
      <c r="D15" s="34">
        <v>12</v>
      </c>
      <c r="E15" s="34">
        <v>750</v>
      </c>
      <c r="F15" s="34" t="str">
        <f>"2014"</f>
        <v>2014</v>
      </c>
      <c r="G15" s="34" t="str">
        <f>"White"</f>
        <v>White</v>
      </c>
      <c r="H15" s="35" t="str">
        <f>"WILLAMETTE"</f>
        <v>WILLAMETTE</v>
      </c>
      <c r="I15" s="35" t="str">
        <f>"ARNEIS"</f>
        <v>ARNEIS</v>
      </c>
      <c r="J15" s="13" t="s">
        <v>83</v>
      </c>
      <c r="K15" s="13" t="str">
        <f>VLOOKUP(B15,Sheet1!$A:$D,2,FALSE)</f>
        <v>No</v>
      </c>
      <c r="L15" s="13" t="str">
        <f>VLOOKUP(B15,Sheet1!$A:$D,3,FALSE)</f>
        <v>Yes</v>
      </c>
      <c r="M15" s="13" t="str">
        <f>VLOOKUP(B15,Sheet1!$A:$D,4,FALSE)</f>
        <v>No</v>
      </c>
      <c r="N15" s="9">
        <v>13.3</v>
      </c>
      <c r="O15" s="13" t="str">
        <f t="shared" si="0"/>
        <v>UPC</v>
      </c>
      <c r="P15" s="13" t="str">
        <f t="shared" si="1"/>
        <v/>
      </c>
      <c r="Q15" s="36" t="str">
        <f>"011852079519"</f>
        <v>011852079519</v>
      </c>
      <c r="R15" s="36"/>
      <c r="S15" s="22">
        <v>2.78</v>
      </c>
      <c r="T15" s="22">
        <v>12</v>
      </c>
      <c r="U15" s="22">
        <v>2.9166699999999999</v>
      </c>
      <c r="V15" s="22">
        <v>12</v>
      </c>
      <c r="W15" s="22">
        <v>9.25</v>
      </c>
      <c r="X15" s="22">
        <v>12.37</v>
      </c>
      <c r="Y15" s="13">
        <v>35</v>
      </c>
      <c r="Z15" s="22">
        <f t="shared" si="2"/>
        <v>0.79460069444444437</v>
      </c>
      <c r="AA15" s="13">
        <v>14</v>
      </c>
      <c r="AB15" s="13">
        <v>4</v>
      </c>
      <c r="AC15" s="13">
        <v>56</v>
      </c>
      <c r="AD15" s="13">
        <f t="shared" si="3"/>
        <v>49.48</v>
      </c>
      <c r="AE15" s="13">
        <f t="shared" si="4"/>
        <v>1960</v>
      </c>
      <c r="AG15" s="28" t="str">
        <f>"12x750ml C"</f>
        <v>12x750ml C</v>
      </c>
    </row>
    <row r="16" spans="1:33" x14ac:dyDescent="0.25">
      <c r="A16" s="10" t="e">
        <f>IF(#REF!=0,"Hide","Show")</f>
        <v>#REF!</v>
      </c>
      <c r="B16" s="32" t="str">
        <f>"Ponzi"</f>
        <v>Ponzi</v>
      </c>
      <c r="C16" s="33" t="str">
        <f>"Arneis"</f>
        <v>Arneis</v>
      </c>
      <c r="D16" s="34">
        <v>12</v>
      </c>
      <c r="E16" s="34">
        <v>750</v>
      </c>
      <c r="F16" s="34" t="str">
        <f>"2015"</f>
        <v>2015</v>
      </c>
      <c r="G16" s="34" t="str">
        <f>"White"</f>
        <v>White</v>
      </c>
      <c r="H16" s="35" t="str">
        <f>"WILLAMETTE"</f>
        <v>WILLAMETTE</v>
      </c>
      <c r="I16" s="35" t="str">
        <f>"ARNEIS"</f>
        <v>ARNEIS</v>
      </c>
      <c r="J16" s="13" t="s">
        <v>83</v>
      </c>
      <c r="K16" s="13" t="str">
        <f>VLOOKUP(B16,Sheet1!$A:$D,2,FALSE)</f>
        <v>No</v>
      </c>
      <c r="L16" s="13" t="str">
        <f>VLOOKUP(B16,Sheet1!$A:$D,3,FALSE)</f>
        <v>Yes</v>
      </c>
      <c r="M16" s="13" t="str">
        <f>VLOOKUP(B16,Sheet1!$A:$D,4,FALSE)</f>
        <v>No</v>
      </c>
      <c r="N16" s="9">
        <v>13.8</v>
      </c>
      <c r="O16" s="13" t="str">
        <f t="shared" ref="O16:O17" si="15">IF(LEN(Q16)=12,"UPC",IF(LEN(Q16)&gt;12,"EAN",""))</f>
        <v>UPC</v>
      </c>
      <c r="P16" s="13" t="str">
        <f t="shared" ref="P16:P17" si="16">IF(ISNUMBER(SEARCH("Gift",AG16)),"Gift Box","")</f>
        <v/>
      </c>
      <c r="Q16" s="36" t="str">
        <f>"011852079519"</f>
        <v>011852079519</v>
      </c>
      <c r="R16" s="36"/>
      <c r="S16" s="22">
        <v>2.78</v>
      </c>
      <c r="T16" s="22">
        <v>12</v>
      </c>
      <c r="U16" s="22">
        <v>2.9166699999999999</v>
      </c>
      <c r="V16" s="22">
        <v>12</v>
      </c>
      <c r="W16" s="22">
        <v>9.25</v>
      </c>
      <c r="X16" s="22">
        <v>12.37</v>
      </c>
      <c r="Y16" s="13">
        <v>35</v>
      </c>
      <c r="Z16" s="22">
        <f t="shared" ref="Z16:Z17" si="17">IF(V16&gt;0,(V16*W16*X16)/1728,"")</f>
        <v>0.79460069444444437</v>
      </c>
      <c r="AA16" s="13">
        <v>14</v>
      </c>
      <c r="AB16" s="13">
        <v>4</v>
      </c>
      <c r="AC16" s="13">
        <v>56</v>
      </c>
      <c r="AD16" s="13">
        <f t="shared" ref="AD16:AD17" si="18">IF(AB16&gt;0,AB16*X16,"")</f>
        <v>49.48</v>
      </c>
      <c r="AE16" s="13">
        <f t="shared" ref="AE16:AE17" si="19">IF(Y16&gt;0,Y16*(AA16*AB16),"")</f>
        <v>1960</v>
      </c>
      <c r="AG16" s="28" t="str">
        <f>"12x750ml C"</f>
        <v>12x750ml C</v>
      </c>
    </row>
    <row r="17" spans="1:33" x14ac:dyDescent="0.25">
      <c r="A17" s="10" t="e">
        <f>IF(#REF!=0,"Hide","Show")</f>
        <v>#REF!</v>
      </c>
      <c r="B17" s="32" t="str">
        <f>"Ponzi"</f>
        <v>Ponzi</v>
      </c>
      <c r="C17" s="33" t="str">
        <f>"Arneis"</f>
        <v>Arneis</v>
      </c>
      <c r="D17" s="34">
        <v>12</v>
      </c>
      <c r="E17" s="34">
        <v>750</v>
      </c>
      <c r="F17" s="34" t="str">
        <f>"2016"</f>
        <v>2016</v>
      </c>
      <c r="G17" s="34" t="str">
        <f>"White"</f>
        <v>White</v>
      </c>
      <c r="H17" s="35" t="str">
        <f>"WILLAMETTE"</f>
        <v>WILLAMETTE</v>
      </c>
      <c r="I17" s="35" t="str">
        <f>"ARNEIS"</f>
        <v>ARNEIS</v>
      </c>
      <c r="J17" s="13" t="s">
        <v>83</v>
      </c>
      <c r="K17" s="13" t="str">
        <f>VLOOKUP(B17,Sheet1!$A:$D,2,FALSE)</f>
        <v>No</v>
      </c>
      <c r="L17" s="13" t="str">
        <f>VLOOKUP(B17,Sheet1!$A:$D,3,FALSE)</f>
        <v>Yes</v>
      </c>
      <c r="M17" s="13" t="str">
        <f>VLOOKUP(B17,Sheet1!$A:$D,4,FALSE)</f>
        <v>No</v>
      </c>
      <c r="N17" s="9">
        <v>13.8</v>
      </c>
      <c r="O17" s="13" t="str">
        <f t="shared" si="15"/>
        <v>UPC</v>
      </c>
      <c r="P17" s="13" t="str">
        <f t="shared" si="16"/>
        <v/>
      </c>
      <c r="Q17" s="36" t="str">
        <f>"011852079519"</f>
        <v>011852079519</v>
      </c>
      <c r="R17" s="36"/>
      <c r="S17" s="22">
        <v>2.78</v>
      </c>
      <c r="T17" s="22">
        <v>12</v>
      </c>
      <c r="U17" s="22">
        <v>2.9166699999999999</v>
      </c>
      <c r="V17" s="22">
        <v>12</v>
      </c>
      <c r="W17" s="22">
        <v>9.25</v>
      </c>
      <c r="X17" s="22">
        <v>12.37</v>
      </c>
      <c r="Y17" s="13">
        <v>35</v>
      </c>
      <c r="Z17" s="22">
        <f t="shared" si="17"/>
        <v>0.79460069444444437</v>
      </c>
      <c r="AA17" s="13">
        <v>14</v>
      </c>
      <c r="AB17" s="13">
        <v>4</v>
      </c>
      <c r="AC17" s="13">
        <v>56</v>
      </c>
      <c r="AD17" s="13">
        <f t="shared" si="18"/>
        <v>49.48</v>
      </c>
      <c r="AE17" s="13">
        <f t="shared" si="19"/>
        <v>1960</v>
      </c>
      <c r="AG17" s="28" t="str">
        <f>"12x750ml C"</f>
        <v>12x750ml C</v>
      </c>
    </row>
    <row r="18" spans="1:33" ht="6" customHeight="1" x14ac:dyDescent="0.25">
      <c r="B18" s="15"/>
      <c r="C18" s="12"/>
      <c r="D18" s="12"/>
      <c r="E18" s="12"/>
      <c r="F18" s="1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4"/>
      <c r="T18" s="24"/>
      <c r="U18" s="24"/>
      <c r="V18" s="24"/>
      <c r="W18" s="24"/>
      <c r="X18" s="24"/>
      <c r="Y18" s="12"/>
      <c r="Z18" s="12"/>
      <c r="AA18" s="12"/>
      <c r="AB18" s="12"/>
      <c r="AC18" s="12"/>
      <c r="AD18" s="12"/>
      <c r="AE18" s="12"/>
      <c r="AG18" s="27"/>
    </row>
    <row r="19" spans="1:33" x14ac:dyDescent="0.25">
      <c r="B19" s="16"/>
      <c r="C19" s="20"/>
      <c r="D19" s="17"/>
      <c r="E19" s="20"/>
      <c r="F19" s="17"/>
      <c r="G19" s="17"/>
      <c r="H19" s="17"/>
      <c r="I19" s="17"/>
      <c r="J19" s="17"/>
      <c r="K19" s="17"/>
      <c r="L19" s="17"/>
      <c r="M19" s="17"/>
      <c r="N19" s="20"/>
      <c r="O19" s="20"/>
      <c r="P19" s="20"/>
      <c r="Q19" s="20"/>
      <c r="R19" s="20"/>
      <c r="S19" s="25"/>
      <c r="T19" s="25"/>
      <c r="U19" s="25"/>
      <c r="V19" s="25"/>
      <c r="W19" s="25"/>
      <c r="X19" s="25"/>
      <c r="Y19" s="20"/>
      <c r="Z19" s="20"/>
      <c r="AA19" s="20"/>
      <c r="AB19" s="20"/>
      <c r="AC19" s="20"/>
      <c r="AD19" s="20"/>
      <c r="AE19" s="20"/>
      <c r="AG19" s="27"/>
    </row>
    <row r="20" spans="1:33" ht="6" customHeight="1" x14ac:dyDescent="0.25"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23"/>
      <c r="T20" s="23"/>
      <c r="U20" s="23"/>
      <c r="V20" s="23"/>
      <c r="W20" s="23"/>
      <c r="X20" s="23"/>
      <c r="Y20" s="11"/>
      <c r="Z20" s="11"/>
      <c r="AA20" s="11"/>
      <c r="AB20" s="11"/>
      <c r="AC20" s="11"/>
      <c r="AD20" s="11"/>
      <c r="AE20" s="11"/>
      <c r="AG20" s="27"/>
    </row>
    <row r="21" spans="1:33" x14ac:dyDescent="0.25">
      <c r="B21" s="10"/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1:33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8"/>
      <c r="T22" s="8"/>
      <c r="U22" s="8"/>
      <c r="V22" s="8"/>
      <c r="W22" s="8"/>
      <c r="X22" s="8"/>
      <c r="Y22" s="18"/>
      <c r="Z22" s="18"/>
      <c r="AA22" s="18"/>
      <c r="AB22" s="18"/>
      <c r="AC22" s="18"/>
      <c r="AD22" s="18"/>
      <c r="AE22" s="18"/>
      <c r="AG22" s="27"/>
    </row>
    <row r="23" spans="1:33" x14ac:dyDescent="0.25">
      <c r="E23" s="10"/>
      <c r="N23" s="10"/>
      <c r="O23" s="10"/>
      <c r="P23" s="10"/>
      <c r="Q23" s="10"/>
      <c r="R23" s="10"/>
      <c r="S23" s="6"/>
      <c r="T23" s="6"/>
      <c r="U23" s="6"/>
      <c r="V23" s="6"/>
      <c r="W23" s="6"/>
      <c r="X23" s="6"/>
      <c r="Y23" s="10"/>
      <c r="Z23" s="10"/>
      <c r="AA23" s="10"/>
      <c r="AB23" s="10"/>
      <c r="AD23" s="10"/>
      <c r="AE23" s="10"/>
      <c r="AG23" s="27"/>
    </row>
    <row r="24" spans="1:33" x14ac:dyDescent="0.25">
      <c r="E24" s="10"/>
      <c r="N24" s="10"/>
      <c r="O24" s="10"/>
      <c r="P24" s="10"/>
      <c r="Q24" s="10"/>
      <c r="R24" s="10"/>
      <c r="S24" s="6"/>
      <c r="T24" s="6"/>
      <c r="U24" s="6"/>
      <c r="V24" s="6"/>
      <c r="W24" s="6"/>
      <c r="X24" s="6"/>
      <c r="Y24" s="10"/>
      <c r="Z24" s="10"/>
      <c r="AA24" s="10"/>
      <c r="AB24" s="10"/>
      <c r="AD24" s="10"/>
      <c r="AE24" s="10"/>
      <c r="AG24" s="27"/>
    </row>
    <row r="25" spans="1:33" x14ac:dyDescent="0.25">
      <c r="E25" s="10"/>
      <c r="N25" s="10"/>
      <c r="O25" s="10"/>
      <c r="P25" s="10"/>
      <c r="Q25" s="10"/>
      <c r="R25" s="10"/>
      <c r="S25" s="6"/>
      <c r="T25" s="6"/>
      <c r="U25" s="6"/>
      <c r="V25" s="6"/>
      <c r="W25" s="6"/>
      <c r="X25" s="6"/>
      <c r="Y25" s="10"/>
      <c r="Z25" s="10"/>
      <c r="AA25" s="10"/>
      <c r="AB25" s="10"/>
      <c r="AD25" s="10"/>
      <c r="AE25" s="10"/>
      <c r="AG25" s="27"/>
    </row>
    <row r="26" spans="1:33" x14ac:dyDescent="0.25">
      <c r="E26" s="10"/>
      <c r="N26" s="10"/>
      <c r="O26" s="10"/>
      <c r="P26" s="10"/>
      <c r="Q26" s="10"/>
      <c r="R26" s="10"/>
      <c r="S26" s="6"/>
      <c r="T26" s="6"/>
      <c r="U26" s="6"/>
      <c r="V26" s="6"/>
      <c r="W26" s="6"/>
      <c r="X26" s="6"/>
      <c r="Y26" s="10"/>
      <c r="Z26" s="10"/>
      <c r="AA26" s="10"/>
      <c r="AB26" s="10"/>
      <c r="AD26" s="10"/>
      <c r="AE26" s="10"/>
      <c r="AG26" s="27"/>
    </row>
    <row r="27" spans="1:33" x14ac:dyDescent="0.25">
      <c r="AG27" s="27"/>
    </row>
    <row r="28" spans="1:33" x14ac:dyDescent="0.25">
      <c r="AG28" s="27"/>
    </row>
    <row r="29" spans="1:33" x14ac:dyDescent="0.25">
      <c r="AG29" s="27"/>
    </row>
    <row r="30" spans="1:33" x14ac:dyDescent="0.25">
      <c r="AG30" s="27"/>
    </row>
    <row r="31" spans="1:33" x14ac:dyDescent="0.25">
      <c r="AG31" s="27"/>
    </row>
    <row r="32" spans="1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  <row r="37" spans="33:33" x14ac:dyDescent="0.25">
      <c r="AG37" s="27"/>
    </row>
    <row r="38" spans="33:33" x14ac:dyDescent="0.25">
      <c r="AG38" s="27"/>
    </row>
    <row r="39" spans="33:33" x14ac:dyDescent="0.25">
      <c r="AG39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6:Y7 AA6:AB7 AA12:AB15 S12:Y15 AA9:AB10 S9:Y10">
    <cfRule type="cellIs" dxfId="3" priority="4" operator="lessThan">
      <formula>0</formula>
    </cfRule>
  </conditionalFormatting>
  <conditionalFormatting sqref="S16:Y17 AA16:AB17">
    <cfRule type="cellIs" dxfId="2" priority="3" operator="lessThan">
      <formula>0</formula>
    </cfRule>
  </conditionalFormatting>
  <conditionalFormatting sqref="S11:Y11 AA11:AB11">
    <cfRule type="cellIs" dxfId="1" priority="2" operator="lessThan">
      <formula>0</formula>
    </cfRule>
  </conditionalFormatting>
  <conditionalFormatting sqref="S8:Y8 AA8:AB8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