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495C91EE-6A31-48D5-8F3F-9FA5FD6CE4F1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Specs!$B$1:$AE$35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1" i="100" l="1"/>
  <c r="Z11" i="100" l="1"/>
  <c r="AE11" i="100"/>
  <c r="O11" i="100"/>
  <c r="AD11" i="100"/>
  <c r="M11" i="100"/>
  <c r="L11" i="100"/>
  <c r="K11" i="100"/>
  <c r="P11" i="100"/>
  <c r="AG14" i="100"/>
  <c r="AG15" i="100"/>
  <c r="AG16" i="100"/>
  <c r="I14" i="100"/>
  <c r="I15" i="100"/>
  <c r="I16" i="100"/>
  <c r="H14" i="100"/>
  <c r="H15" i="100"/>
  <c r="H16" i="100"/>
  <c r="G14" i="100"/>
  <c r="G15" i="100"/>
  <c r="G16" i="100"/>
  <c r="F14" i="100"/>
  <c r="F15" i="100"/>
  <c r="F16" i="100"/>
  <c r="C14" i="100"/>
  <c r="C15" i="100"/>
  <c r="C16" i="100"/>
  <c r="B14" i="100"/>
  <c r="B15" i="100"/>
  <c r="B16" i="100"/>
  <c r="K16" i="100" s="1"/>
  <c r="Q14" i="100"/>
  <c r="Q15" i="100"/>
  <c r="Q16" i="100"/>
  <c r="AE16" i="100"/>
  <c r="AD16" i="100"/>
  <c r="Z16" i="100"/>
  <c r="P16" i="100"/>
  <c r="O16" i="100"/>
  <c r="M16" i="100"/>
  <c r="L16" i="100"/>
  <c r="A16" i="100"/>
  <c r="AE15" i="100"/>
  <c r="AD15" i="100"/>
  <c r="Z15" i="100"/>
  <c r="P15" i="100"/>
  <c r="O15" i="100"/>
  <c r="M15" i="100"/>
  <c r="L15" i="100"/>
  <c r="K15" i="100"/>
  <c r="A15" i="100"/>
  <c r="AG17" i="100"/>
  <c r="AG18" i="100"/>
  <c r="AG19" i="100"/>
  <c r="AG20" i="100"/>
  <c r="I17" i="100"/>
  <c r="I18" i="100"/>
  <c r="I19" i="100"/>
  <c r="I20" i="100"/>
  <c r="H17" i="100"/>
  <c r="H18" i="100"/>
  <c r="H19" i="100"/>
  <c r="H20" i="100"/>
  <c r="G17" i="100"/>
  <c r="G18" i="100"/>
  <c r="G19" i="100"/>
  <c r="G20" i="100"/>
  <c r="F17" i="100"/>
  <c r="F18" i="100"/>
  <c r="F19" i="100"/>
  <c r="F20" i="100"/>
  <c r="C17" i="100"/>
  <c r="C18" i="100"/>
  <c r="C19" i="100"/>
  <c r="C20" i="100"/>
  <c r="B17" i="100"/>
  <c r="B18" i="100"/>
  <c r="M18" i="100" s="1"/>
  <c r="B19" i="100"/>
  <c r="L19" i="100" s="1"/>
  <c r="B20" i="100"/>
  <c r="K20" i="100" s="1"/>
  <c r="Q17" i="100"/>
  <c r="Q18" i="100"/>
  <c r="Q19" i="100"/>
  <c r="O19" i="100" s="1"/>
  <c r="Q20" i="100"/>
  <c r="AE20" i="100"/>
  <c r="AD20" i="100"/>
  <c r="Z20" i="100"/>
  <c r="P20" i="100"/>
  <c r="O20" i="100"/>
  <c r="L20" i="100"/>
  <c r="A20" i="100"/>
  <c r="AE19" i="100"/>
  <c r="AD19" i="100"/>
  <c r="Z19" i="100"/>
  <c r="P19" i="100"/>
  <c r="M19" i="100"/>
  <c r="A19" i="100"/>
  <c r="AE18" i="100"/>
  <c r="AD18" i="100"/>
  <c r="Z18" i="100"/>
  <c r="P18" i="100"/>
  <c r="O18" i="100"/>
  <c r="K18" i="100"/>
  <c r="A18" i="100"/>
  <c r="A6" i="100"/>
  <c r="M20" i="100" l="1"/>
  <c r="L18" i="100"/>
  <c r="K19" i="100"/>
  <c r="AD6" i="100"/>
  <c r="AE6" i="100"/>
  <c r="Z6" i="100"/>
  <c r="O6" i="100"/>
  <c r="M6" i="100"/>
  <c r="L6" i="100"/>
  <c r="K6" i="100"/>
  <c r="P6" i="100"/>
  <c r="A27" i="100"/>
  <c r="A26" i="100"/>
  <c r="A22" i="100"/>
  <c r="A21" i="100"/>
  <c r="A17" i="100"/>
  <c r="A14" i="100"/>
  <c r="A13" i="100"/>
  <c r="A12" i="100"/>
  <c r="A10" i="100"/>
  <c r="A9" i="100"/>
  <c r="A8" i="100"/>
  <c r="A7" i="100"/>
  <c r="B24" i="100"/>
  <c r="A25" i="100"/>
  <c r="A5" i="100" l="1"/>
  <c r="K5" i="100" l="1"/>
  <c r="M5" i="100"/>
  <c r="L5" i="100"/>
  <c r="O5" i="100"/>
  <c r="P5" i="100" l="1"/>
  <c r="AD7" i="100" l="1"/>
  <c r="AE7" i="100"/>
  <c r="Z7" i="100"/>
  <c r="O7" i="100"/>
  <c r="L7" i="100"/>
  <c r="K7" i="100"/>
  <c r="M7" i="100"/>
  <c r="P7" i="100"/>
  <c r="Z5" i="100"/>
  <c r="AD8" i="100" l="1"/>
  <c r="AE8" i="100"/>
  <c r="Z8" i="100"/>
  <c r="O8" i="100"/>
  <c r="K8" i="100"/>
  <c r="M8" i="100"/>
  <c r="L8" i="100"/>
  <c r="P8" i="100"/>
  <c r="AD5" i="100"/>
  <c r="AE5" i="100"/>
  <c r="AD9" i="100" l="1"/>
  <c r="AE9" i="100"/>
  <c r="Z9" i="100"/>
  <c r="O9" i="100"/>
  <c r="K9" i="100"/>
  <c r="M9" i="100"/>
  <c r="L9" i="100"/>
  <c r="P9" i="100"/>
  <c r="AD25" i="100"/>
  <c r="Z25" i="100"/>
  <c r="AE25" i="100"/>
  <c r="O25" i="100"/>
  <c r="L25" i="100"/>
  <c r="K25" i="100"/>
  <c r="M25" i="100"/>
  <c r="P25" i="100"/>
  <c r="AD10" i="100" l="1"/>
  <c r="AE10" i="100"/>
  <c r="Z10" i="100"/>
  <c r="AD26" i="100"/>
  <c r="AE26" i="100"/>
  <c r="Z26" i="100"/>
  <c r="O10" i="100"/>
  <c r="O26" i="100"/>
  <c r="L10" i="100"/>
  <c r="K10" i="100"/>
  <c r="M10" i="100"/>
  <c r="P10" i="100"/>
  <c r="K26" i="100"/>
  <c r="M26" i="100"/>
  <c r="L26" i="100"/>
  <c r="P26" i="100"/>
  <c r="AD27" i="100" l="1"/>
  <c r="AE27" i="100"/>
  <c r="Z27" i="100"/>
  <c r="AD12" i="100"/>
  <c r="AE12" i="100"/>
  <c r="Z12" i="100"/>
  <c r="O27" i="100"/>
  <c r="O12" i="100"/>
  <c r="K27" i="100"/>
  <c r="M27" i="100"/>
  <c r="L27" i="100"/>
  <c r="P27" i="100"/>
  <c r="M12" i="100"/>
  <c r="L12" i="100"/>
  <c r="K12" i="100"/>
  <c r="P12" i="100"/>
  <c r="AD13" i="100" l="1"/>
  <c r="AE13" i="100"/>
  <c r="Z13" i="100"/>
  <c r="O13" i="100"/>
  <c r="L13" i="100"/>
  <c r="M13" i="100"/>
  <c r="K13" i="100"/>
  <c r="P13" i="100"/>
  <c r="AD14" i="100" l="1"/>
  <c r="AE14" i="100"/>
  <c r="Z14" i="100"/>
  <c r="O14" i="100"/>
  <c r="K14" i="100"/>
  <c r="L14" i="100"/>
  <c r="M14" i="100"/>
  <c r="P14" i="100"/>
  <c r="AD17" i="100" l="1"/>
  <c r="AE17" i="100"/>
  <c r="Z17" i="100"/>
  <c r="O17" i="100"/>
  <c r="K17" i="100"/>
  <c r="M17" i="100"/>
  <c r="L17" i="100"/>
  <c r="P17" i="100"/>
  <c r="AD22" i="100" l="1"/>
  <c r="AE22" i="100"/>
  <c r="Z22" i="100"/>
  <c r="AD21" i="100"/>
  <c r="AE21" i="100"/>
  <c r="Z21" i="100"/>
  <c r="O22" i="100"/>
  <c r="O21" i="100"/>
  <c r="K22" i="100"/>
  <c r="M22" i="100"/>
  <c r="L22" i="100"/>
  <c r="P22" i="100"/>
  <c r="K21" i="100"/>
  <c r="M21" i="100"/>
  <c r="L21" i="100"/>
  <c r="P21" i="100"/>
</calcChain>
</file>

<file path=xl/sharedStrings.xml><?xml version="1.0" encoding="utf-8"?>
<sst xmlns="http://schemas.openxmlformats.org/spreadsheetml/2006/main" count="328" uniqueCount="115">
  <si>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</si>
  <si>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</si>
  <si>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</si>
  <si>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</si>
  <si>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</si>
  <si>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</si>
  <si>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</si>
  <si>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</si>
  <si>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</si>
  <si>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</si>
  <si>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</si>
  <si>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</si>
  <si>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</si>
  <si>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</si>
  <si>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</si>
  <si>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</si>
  <si>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</si>
  <si>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</si>
  <si>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</si>
  <si>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</si>
  <si>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</si>
  <si>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</si>
  <si>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</si>
  <si>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</si>
  <si>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</si>
  <si>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</si>
  <si>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</si>
  <si>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</si>
  <si>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</si>
  <si>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</si>
  <si>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</si>
  <si>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</si>
  <si>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</si>
  <si>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</si>
  <si>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</si>
  <si>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</si>
  <si>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</si>
  <si>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</si>
  <si>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</si>
  <si>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</si>
  <si>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</si>
  <si>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</si>
  <si>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</si>
  <si>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</si>
  <si>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</si>
  <si>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</si>
  <si>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</si>
  <si>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</si>
  <si>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</si>
  <si>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</si>
  <si>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</si>
  <si>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</si>
  <si>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</si>
  <si>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</si>
  <si>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</si>
  <si>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</si>
  <si>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</si>
  <si>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</si>
  <si>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</si>
  <si>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</si>
  <si>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</si>
  <si>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</si>
  <si>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</si>
  <si>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</si>
  <si>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</si>
  <si>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</si>
  <si>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</si>
  <si>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</si>
  <si>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</si>
  <si>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</si>
  <si>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</si>
  <si>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PORTS</t>
  </si>
  <si>
    <t>CORK</t>
  </si>
  <si>
    <t>3x750ml W</t>
  </si>
  <si>
    <t>12x750ml C</t>
  </si>
  <si>
    <t>6x750ml W</t>
  </si>
  <si>
    <t>Cedro</t>
  </si>
  <si>
    <t>2015</t>
  </si>
  <si>
    <t>Red</t>
  </si>
  <si>
    <t>VINHO REG. DURIENSE</t>
  </si>
  <si>
    <t>PORT BLEND</t>
  </si>
  <si>
    <t>Douro DOC</t>
  </si>
  <si>
    <t>2008</t>
  </si>
  <si>
    <t>DOURO DOC</t>
  </si>
  <si>
    <t>DOURO RED BLEND</t>
  </si>
  <si>
    <t>Maria Mansa</t>
  </si>
  <si>
    <t>2016</t>
  </si>
  <si>
    <t>Nacional</t>
  </si>
  <si>
    <t>White Port</t>
  </si>
  <si>
    <t>895991002214</t>
  </si>
  <si>
    <t>895991002054</t>
  </si>
  <si>
    <t>895991002016</t>
  </si>
  <si>
    <t>895991002023</t>
  </si>
  <si>
    <t>895991002061</t>
  </si>
  <si>
    <t>895991002078</t>
  </si>
  <si>
    <t>895991002085</t>
  </si>
  <si>
    <t>895991002238</t>
  </si>
  <si>
    <t>895991002030</t>
  </si>
  <si>
    <t>895991002153</t>
  </si>
  <si>
    <t>895991002221</t>
  </si>
  <si>
    <t>8959910002276</t>
  </si>
  <si>
    <t>Noval Black</t>
  </si>
  <si>
    <t>LBV Single Vineyard</t>
  </si>
  <si>
    <t>Tawny Port</t>
  </si>
  <si>
    <t>Fine Ruby Port</t>
  </si>
  <si>
    <t>10 Year Old Tawny</t>
  </si>
  <si>
    <t>20 Year Old Tawny</t>
  </si>
  <si>
    <t>40 Year Old Tawny</t>
  </si>
  <si>
    <t>NV</t>
  </si>
  <si>
    <t>2012</t>
  </si>
  <si>
    <t>2004</t>
  </si>
  <si>
    <t>White</t>
  </si>
  <si>
    <t>PORTO</t>
  </si>
  <si>
    <t>12x750ml Gift</t>
  </si>
  <si>
    <t>6x750ml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</si>
</sst>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9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65</v>
      </c>
      <c r="C5" s="33" t="s">
        <v>101</v>
      </c>
      <c r="D5" s="34">
        <v>12</v>
      </c>
      <c r="E5" s="34">
        <v>750</v>
      </c>
      <c r="F5" s="34" t="s">
        <v>108</v>
      </c>
      <c r="G5" s="34" t="s">
        <v>78</v>
      </c>
      <c r="H5" s="35" t="s">
        <v>112</v>
      </c>
      <c r="I5" s="35" t="s">
        <v>80</v>
      </c>
      <c r="J5" s="13" t="s">
        <v>72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19.5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89</v>
      </c>
      <c r="R5" s="36" t="s">
        <v>22</v>
      </c>
      <c r="S5" s="22">
        <v>3</v>
      </c>
      <c r="T5" s="22">
        <v>13</v>
      </c>
      <c r="U5" s="22">
        <v>3.4166700000000003</v>
      </c>
      <c r="V5" s="22">
        <v>13</v>
      </c>
      <c r="W5" s="22">
        <v>10</v>
      </c>
      <c r="X5" s="22">
        <v>13</v>
      </c>
      <c r="Y5" s="13">
        <v>41</v>
      </c>
      <c r="Z5" s="22">
        <f>IF(V5&gt;0,(V5*W5*X5)/1728,"")</f>
        <v>0.9780092592592593</v>
      </c>
      <c r="AA5" s="13">
        <v>14</v>
      </c>
      <c r="AB5" s="13">
        <v>4</v>
      </c>
      <c r="AC5" s="13">
        <v>56</v>
      </c>
      <c r="AD5" s="13">
        <f>IF(AB5&gt;0,AB5*X5,"")</f>
        <v>52</v>
      </c>
      <c r="AE5" s="13">
        <f>IF(Y5&gt;0,Y5*(AA5*AB5),"")</f>
        <v>2296</v>
      </c>
      <c r="AG5" s="28" t="s">
        <v>74</v>
      </c>
    </row>
    <row r="6" spans="1:33" x14ac:dyDescent="0.25">
      <c r="A6" s="10" t="e">
        <f>IF(#REF!=0,"Hide","Show")</f>
        <v>#REF!</v>
      </c>
      <c r="B6" s="32" t="s">
        <v>65</v>
      </c>
      <c r="C6" s="33" t="s">
        <v>101</v>
      </c>
      <c r="D6" s="34">
        <v>12</v>
      </c>
      <c r="E6" s="34">
        <v>750</v>
      </c>
      <c r="F6" s="34" t="s">
        <v>108</v>
      </c>
      <c r="G6" s="34" t="s">
        <v>78</v>
      </c>
      <c r="H6" s="35" t="s">
        <v>112</v>
      </c>
      <c r="I6" s="35" t="s">
        <v>80</v>
      </c>
      <c r="J6" s="13" t="s">
        <v>72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19.5</v>
      </c>
      <c r="O6" s="13" t="str">
        <f>IF(LEN(Q6)=12,"UPC",IF(LEN(Q6)&gt;12,"EAN",""))</f>
        <v>UPC</v>
      </c>
      <c r="P6" s="13" t="str">
        <f>IF(ISNUMBER(SEARCH("Gift",AG6)),"Gift Box","")</f>
        <v>Gift Box</v>
      </c>
      <c r="Q6" s="36" t="s">
        <v>89</v>
      </c>
      <c r="R6" s="36" t="s">
        <v>89</v>
      </c>
      <c r="S6" s="22">
        <v>3</v>
      </c>
      <c r="T6" s="22">
        <v>13</v>
      </c>
      <c r="U6" s="22">
        <v>3.4166700000000003</v>
      </c>
      <c r="V6" s="22">
        <v>13</v>
      </c>
      <c r="W6" s="22">
        <v>10</v>
      </c>
      <c r="X6" s="22">
        <v>13</v>
      </c>
      <c r="Y6" s="13">
        <v>41</v>
      </c>
      <c r="Z6" s="22">
        <f>IF(V6&gt;0,(V6*W6*X6)/1728,"")</f>
        <v>0.9780092592592593</v>
      </c>
      <c r="AA6" s="13">
        <v>14</v>
      </c>
      <c r="AB6" s="13">
        <v>4</v>
      </c>
      <c r="AC6" s="13">
        <v>56</v>
      </c>
      <c r="AD6" s="13">
        <f>IF(AB6&gt;0,AB6*X6,"")</f>
        <v>52</v>
      </c>
      <c r="AE6" s="13">
        <f>IF(Y6&gt;0,Y6*(AA6*AB6),"")</f>
        <v>2296</v>
      </c>
      <c r="AG6" s="28" t="s">
        <v>113</v>
      </c>
    </row>
    <row r="7" spans="1:33" x14ac:dyDescent="0.25">
      <c r="A7" s="10" t="e">
        <f>IF(#REF!=0,"Hide","Show")</f>
        <v>#REF!</v>
      </c>
      <c r="B7" s="32" t="s">
        <v>65</v>
      </c>
      <c r="C7" s="33" t="s">
        <v>102</v>
      </c>
      <c r="D7" s="34">
        <v>12</v>
      </c>
      <c r="E7" s="34">
        <v>750</v>
      </c>
      <c r="F7" s="34" t="s">
        <v>109</v>
      </c>
      <c r="G7" s="34" t="s">
        <v>78</v>
      </c>
      <c r="H7" s="35" t="s">
        <v>112</v>
      </c>
      <c r="I7" s="35" t="s">
        <v>80</v>
      </c>
      <c r="J7" s="13" t="s">
        <v>72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19.5</v>
      </c>
      <c r="O7" s="13" t="str">
        <f t="shared" ref="O7:O22" si="0">IF(LEN(Q7)=12,"UPC",IF(LEN(Q7)&gt;12,"EAN",""))</f>
        <v>UPC</v>
      </c>
      <c r="P7" s="13" t="str">
        <f t="shared" ref="P7:P22" si="1">IF(ISNUMBER(SEARCH("Gift",AG7)),"Gift Box","")</f>
        <v/>
      </c>
      <c r="Q7" s="36" t="s">
        <v>90</v>
      </c>
      <c r="R7" s="36" t="s">
        <v>22</v>
      </c>
      <c r="S7" s="22">
        <v>3.35</v>
      </c>
      <c r="T7" s="22">
        <v>11</v>
      </c>
      <c r="U7" s="22">
        <v>3.1666700000000003</v>
      </c>
      <c r="V7" s="22">
        <v>13</v>
      </c>
      <c r="W7" s="22">
        <v>12</v>
      </c>
      <c r="X7" s="22">
        <v>13.7</v>
      </c>
      <c r="Y7" s="13">
        <v>38</v>
      </c>
      <c r="Z7" s="22">
        <f t="shared" ref="Z7:Z22" si="2">IF(V7&gt;0,(V7*W7*X7)/1728,"")</f>
        <v>1.2368055555555555</v>
      </c>
      <c r="AA7" s="13">
        <v>9</v>
      </c>
      <c r="AB7" s="13">
        <v>5</v>
      </c>
      <c r="AC7" s="13">
        <v>45</v>
      </c>
      <c r="AD7" s="13">
        <f t="shared" ref="AD7:AD22" si="3">IF(AB7&gt;0,AB7*X7,"")</f>
        <v>68.5</v>
      </c>
      <c r="AE7" s="13">
        <f t="shared" ref="AE7:AE22" si="4">IF(Y7&gt;0,Y7*(AA7*AB7),"")</f>
        <v>1710</v>
      </c>
      <c r="AG7" s="28" t="s">
        <v>74</v>
      </c>
    </row>
    <row r="8" spans="1:33" x14ac:dyDescent="0.25">
      <c r="A8" s="10" t="e">
        <f>IF(#REF!=0,"Hide","Show")</f>
        <v>#REF!</v>
      </c>
      <c r="B8" s="32" t="s">
        <v>65</v>
      </c>
      <c r="C8" s="33" t="s">
        <v>103</v>
      </c>
      <c r="D8" s="34">
        <v>12</v>
      </c>
      <c r="E8" s="34">
        <v>750</v>
      </c>
      <c r="F8" s="34" t="s">
        <v>108</v>
      </c>
      <c r="G8" s="34" t="s">
        <v>78</v>
      </c>
      <c r="H8" s="35" t="s">
        <v>112</v>
      </c>
      <c r="I8" s="35" t="s">
        <v>80</v>
      </c>
      <c r="J8" s="13" t="s">
        <v>72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19.5</v>
      </c>
      <c r="O8" s="13" t="str">
        <f t="shared" si="0"/>
        <v>UPC</v>
      </c>
      <c r="P8" s="13" t="str">
        <f t="shared" si="1"/>
        <v/>
      </c>
      <c r="Q8" s="36" t="s">
        <v>91</v>
      </c>
      <c r="R8" s="36" t="s">
        <v>22</v>
      </c>
      <c r="S8" s="22">
        <v>3.35</v>
      </c>
      <c r="T8" s="22">
        <v>12</v>
      </c>
      <c r="U8" s="22">
        <v>3</v>
      </c>
      <c r="V8" s="22">
        <v>14</v>
      </c>
      <c r="W8" s="22">
        <v>11</v>
      </c>
      <c r="X8" s="22">
        <v>12</v>
      </c>
      <c r="Y8" s="13">
        <v>36</v>
      </c>
      <c r="Z8" s="22">
        <f t="shared" si="2"/>
        <v>1.0694444444444444</v>
      </c>
      <c r="AA8" s="13">
        <v>10</v>
      </c>
      <c r="AB8" s="13">
        <v>5</v>
      </c>
      <c r="AC8" s="13">
        <v>50</v>
      </c>
      <c r="AD8" s="13">
        <f t="shared" si="3"/>
        <v>60</v>
      </c>
      <c r="AE8" s="13">
        <f t="shared" si="4"/>
        <v>1800</v>
      </c>
      <c r="AG8" s="28" t="s">
        <v>74</v>
      </c>
    </row>
    <row r="9" spans="1:33" x14ac:dyDescent="0.25">
      <c r="A9" s="10" t="e">
        <f>IF(#REF!=0,"Hide","Show")</f>
        <v>#REF!</v>
      </c>
      <c r="B9" s="32" t="s">
        <v>65</v>
      </c>
      <c r="C9" s="33" t="s">
        <v>104</v>
      </c>
      <c r="D9" s="34">
        <v>12</v>
      </c>
      <c r="E9" s="34">
        <v>750</v>
      </c>
      <c r="F9" s="34" t="s">
        <v>108</v>
      </c>
      <c r="G9" s="34" t="s">
        <v>78</v>
      </c>
      <c r="H9" s="35" t="s">
        <v>112</v>
      </c>
      <c r="I9" s="35" t="s">
        <v>80</v>
      </c>
      <c r="J9" s="13" t="s">
        <v>72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19.5</v>
      </c>
      <c r="O9" s="13" t="str">
        <f t="shared" si="0"/>
        <v>UPC</v>
      </c>
      <c r="P9" s="13" t="str">
        <f t="shared" si="1"/>
        <v/>
      </c>
      <c r="Q9" s="36" t="s">
        <v>92</v>
      </c>
      <c r="R9" s="36" t="s">
        <v>22</v>
      </c>
      <c r="S9" s="22">
        <v>3.35</v>
      </c>
      <c r="T9" s="22">
        <v>12</v>
      </c>
      <c r="U9" s="22">
        <v>3.1666700000000003</v>
      </c>
      <c r="V9" s="22">
        <v>14</v>
      </c>
      <c r="W9" s="22">
        <v>11</v>
      </c>
      <c r="X9" s="22">
        <v>12</v>
      </c>
      <c r="Y9" s="13">
        <v>38</v>
      </c>
      <c r="Z9" s="22">
        <f t="shared" si="2"/>
        <v>1.0694444444444444</v>
      </c>
      <c r="AA9" s="13">
        <v>10</v>
      </c>
      <c r="AB9" s="13">
        <v>5</v>
      </c>
      <c r="AC9" s="13">
        <v>50</v>
      </c>
      <c r="AD9" s="13">
        <f t="shared" si="3"/>
        <v>60</v>
      </c>
      <c r="AE9" s="13">
        <f t="shared" si="4"/>
        <v>1900</v>
      </c>
      <c r="AG9" s="28" t="s">
        <v>74</v>
      </c>
    </row>
    <row r="10" spans="1:33" x14ac:dyDescent="0.25">
      <c r="A10" s="10" t="e">
        <f>IF(#REF!=0,"Hide","Show")</f>
        <v>#REF!</v>
      </c>
      <c r="B10" s="32" t="s">
        <v>65</v>
      </c>
      <c r="C10" s="33" t="s">
        <v>105</v>
      </c>
      <c r="D10" s="34">
        <v>12</v>
      </c>
      <c r="E10" s="34">
        <v>750</v>
      </c>
      <c r="F10" s="34" t="s">
        <v>108</v>
      </c>
      <c r="G10" s="34" t="s">
        <v>78</v>
      </c>
      <c r="H10" s="35" t="s">
        <v>112</v>
      </c>
      <c r="I10" s="35" t="s">
        <v>80</v>
      </c>
      <c r="J10" s="13" t="s">
        <v>72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19.5</v>
      </c>
      <c r="O10" s="13" t="str">
        <f t="shared" si="0"/>
        <v>UPC</v>
      </c>
      <c r="P10" s="13" t="str">
        <f t="shared" si="1"/>
        <v/>
      </c>
      <c r="Q10" s="36" t="s">
        <v>93</v>
      </c>
      <c r="R10" s="36" t="s">
        <v>22</v>
      </c>
      <c r="S10" s="22">
        <v>3.37</v>
      </c>
      <c r="T10" s="22">
        <v>12</v>
      </c>
      <c r="U10" s="22">
        <v>3.1666700000000003</v>
      </c>
      <c r="V10" s="22">
        <v>14</v>
      </c>
      <c r="W10" s="22">
        <v>11</v>
      </c>
      <c r="X10" s="22">
        <v>12</v>
      </c>
      <c r="Y10" s="13">
        <v>38</v>
      </c>
      <c r="Z10" s="22">
        <f t="shared" si="2"/>
        <v>1.0694444444444444</v>
      </c>
      <c r="AA10" s="13">
        <v>10</v>
      </c>
      <c r="AB10" s="13">
        <v>5</v>
      </c>
      <c r="AC10" s="13">
        <v>50</v>
      </c>
      <c r="AD10" s="13">
        <f t="shared" si="3"/>
        <v>60</v>
      </c>
      <c r="AE10" s="13">
        <f t="shared" si="4"/>
        <v>1900</v>
      </c>
      <c r="AG10" s="28" t="s">
        <v>74</v>
      </c>
    </row>
    <row r="11" spans="1:33" x14ac:dyDescent="0.25">
      <c r="A11" s="10" t="e">
        <f>IF(#REF!=0,"Hide","Show")</f>
        <v>#REF!</v>
      </c>
      <c r="B11" s="32" t="s">
        <v>65</v>
      </c>
      <c r="C11" s="33" t="s">
        <v>105</v>
      </c>
      <c r="D11" s="34">
        <v>12</v>
      </c>
      <c r="E11" s="34">
        <v>750</v>
      </c>
      <c r="F11" s="34" t="s">
        <v>108</v>
      </c>
      <c r="G11" s="34" t="s">
        <v>78</v>
      </c>
      <c r="H11" s="35" t="s">
        <v>112</v>
      </c>
      <c r="I11" s="35" t="s">
        <v>80</v>
      </c>
      <c r="J11" s="13" t="s">
        <v>72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19.5</v>
      </c>
      <c r="O11" s="13" t="str">
        <f t="shared" ref="O11" si="5">IF(LEN(Q11)=12,"UPC",IF(LEN(Q11)&gt;12,"EAN",""))</f>
        <v>UPC</v>
      </c>
      <c r="P11" s="13" t="str">
        <f t="shared" ref="P11" si="6">IF(ISNUMBER(SEARCH("Gift",AG11)),"Gift Box","")</f>
        <v>Gift Box</v>
      </c>
      <c r="Q11" s="36" t="s">
        <v>93</v>
      </c>
      <c r="R11" s="36" t="s">
        <v>22</v>
      </c>
      <c r="S11" s="22">
        <v>3.37</v>
      </c>
      <c r="T11" s="22">
        <v>12</v>
      </c>
      <c r="U11" s="22">
        <v>3.3333299999999997</v>
      </c>
      <c r="V11" s="22">
        <v>14</v>
      </c>
      <c r="W11" s="22">
        <v>11</v>
      </c>
      <c r="X11" s="22">
        <v>12</v>
      </c>
      <c r="Y11" s="13">
        <v>40</v>
      </c>
      <c r="Z11" s="22">
        <f t="shared" ref="Z11" si="7">IF(V11&gt;0,(V11*W11*X11)/1728,"")</f>
        <v>1.0694444444444444</v>
      </c>
      <c r="AA11" s="13">
        <v>10</v>
      </c>
      <c r="AB11" s="13">
        <v>5</v>
      </c>
      <c r="AC11" s="13">
        <v>50</v>
      </c>
      <c r="AD11" s="13">
        <f t="shared" ref="AD11" si="8">IF(AB11&gt;0,AB11*X11,"")</f>
        <v>60</v>
      </c>
      <c r="AE11" s="13">
        <f t="shared" ref="AE11" si="9">IF(Y11&gt;0,Y11*(AA11*AB11),"")</f>
        <v>2000</v>
      </c>
      <c r="AG11" s="28" t="s">
        <v>113</v>
      </c>
    </row>
    <row r="12" spans="1:33" x14ac:dyDescent="0.25">
      <c r="A12" s="10" t="e">
        <f>IF(#REF!=0,"Hide","Show")</f>
        <v>#REF!</v>
      </c>
      <c r="B12" s="32" t="s">
        <v>65</v>
      </c>
      <c r="C12" s="33" t="s">
        <v>106</v>
      </c>
      <c r="D12" s="34">
        <v>6</v>
      </c>
      <c r="E12" s="34">
        <v>750</v>
      </c>
      <c r="F12" s="34" t="s">
        <v>108</v>
      </c>
      <c r="G12" s="34" t="s">
        <v>78</v>
      </c>
      <c r="H12" s="35" t="s">
        <v>112</v>
      </c>
      <c r="I12" s="35" t="s">
        <v>80</v>
      </c>
      <c r="J12" s="13" t="s">
        <v>72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21</v>
      </c>
      <c r="O12" s="13" t="str">
        <f t="shared" si="0"/>
        <v>UPC</v>
      </c>
      <c r="P12" s="13" t="str">
        <f t="shared" si="1"/>
        <v/>
      </c>
      <c r="Q12" s="36" t="s">
        <v>94</v>
      </c>
      <c r="R12" s="36" t="s">
        <v>22</v>
      </c>
      <c r="S12" s="22">
        <v>3.37</v>
      </c>
      <c r="T12" s="22">
        <v>12</v>
      </c>
      <c r="U12" s="22">
        <v>3.3333299999999997</v>
      </c>
      <c r="V12" s="22">
        <v>10.5</v>
      </c>
      <c r="W12" s="22">
        <v>7</v>
      </c>
      <c r="X12" s="22">
        <v>12</v>
      </c>
      <c r="Y12" s="13">
        <v>20</v>
      </c>
      <c r="Z12" s="22">
        <f t="shared" si="2"/>
        <v>0.51041666666666663</v>
      </c>
      <c r="AA12" s="13">
        <v>20</v>
      </c>
      <c r="AB12" s="13">
        <v>4</v>
      </c>
      <c r="AC12" s="13">
        <v>80</v>
      </c>
      <c r="AD12" s="13">
        <f t="shared" si="3"/>
        <v>48</v>
      </c>
      <c r="AE12" s="13">
        <f t="shared" si="4"/>
        <v>1600</v>
      </c>
      <c r="AG12" s="28" t="s">
        <v>114</v>
      </c>
    </row>
    <row r="13" spans="1:33" x14ac:dyDescent="0.25">
      <c r="A13" s="10" t="e">
        <f>IF(#REF!=0,"Hide","Show")</f>
        <v>#REF!</v>
      </c>
      <c r="B13" s="32" t="s">
        <v>65</v>
      </c>
      <c r="C13" s="33" t="s">
        <v>107</v>
      </c>
      <c r="D13" s="34">
        <v>6</v>
      </c>
      <c r="E13" s="34">
        <v>750</v>
      </c>
      <c r="F13" s="34" t="s">
        <v>108</v>
      </c>
      <c r="G13" s="34" t="s">
        <v>78</v>
      </c>
      <c r="H13" s="35" t="s">
        <v>112</v>
      </c>
      <c r="I13" s="35" t="s">
        <v>80</v>
      </c>
      <c r="J13" s="13" t="s">
        <v>72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21.5</v>
      </c>
      <c r="O13" s="13" t="str">
        <f t="shared" si="0"/>
        <v>UPC</v>
      </c>
      <c r="P13" s="13" t="str">
        <f t="shared" si="1"/>
        <v/>
      </c>
      <c r="Q13" s="36" t="s">
        <v>95</v>
      </c>
      <c r="R13" s="36" t="s">
        <v>22</v>
      </c>
      <c r="S13" s="22">
        <v>3.35</v>
      </c>
      <c r="T13" s="22">
        <v>12</v>
      </c>
      <c r="U13" s="22">
        <v>3.3333299999999997</v>
      </c>
      <c r="V13" s="22">
        <v>10.57</v>
      </c>
      <c r="W13" s="22">
        <v>7</v>
      </c>
      <c r="X13" s="22">
        <v>12</v>
      </c>
      <c r="Y13" s="13">
        <v>20</v>
      </c>
      <c r="Z13" s="22">
        <f t="shared" si="2"/>
        <v>0.5138194444444445</v>
      </c>
      <c r="AA13" s="13">
        <v>20</v>
      </c>
      <c r="AB13" s="13">
        <v>4</v>
      </c>
      <c r="AC13" s="13">
        <v>80</v>
      </c>
      <c r="AD13" s="13">
        <f t="shared" si="3"/>
        <v>48</v>
      </c>
      <c r="AE13" s="13">
        <f t="shared" si="4"/>
        <v>1600</v>
      </c>
      <c r="AG13" s="28" t="s">
        <v>114</v>
      </c>
    </row>
    <row r="14" spans="1:33" x14ac:dyDescent="0.25">
      <c r="A14" s="10" t="e">
        <f>IF(#REF!=0,"Hide","Show")</f>
        <v>#REF!</v>
      </c>
      <c r="B14" s="32" t="str">
        <f>"Quinta do Noval"</f>
        <v>Quinta do Noval</v>
      </c>
      <c r="C14" s="33" t="str">
        <f>"Colheita Vintage Tawny"</f>
        <v>Colheita Vintage Tawny</v>
      </c>
      <c r="D14" s="34">
        <v>6</v>
      </c>
      <c r="E14" s="34">
        <v>750</v>
      </c>
      <c r="F14" s="34" t="str">
        <f>"2000"</f>
        <v>2000</v>
      </c>
      <c r="G14" s="34" t="str">
        <f>"Red"</f>
        <v>Red</v>
      </c>
      <c r="H14" s="35" t="str">
        <f>"PORTO"</f>
        <v>PORTO</v>
      </c>
      <c r="I14" s="35" t="str">
        <f>"PORT BLEND"</f>
        <v>PORT BLEND</v>
      </c>
      <c r="J14" s="13" t="s">
        <v>72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21</v>
      </c>
      <c r="O14" s="13" t="str">
        <f t="shared" si="0"/>
        <v>EAN</v>
      </c>
      <c r="P14" s="13" t="str">
        <f t="shared" si="1"/>
        <v/>
      </c>
      <c r="Q14" s="36" t="str">
        <f>"5601064003232"</f>
        <v>5601064003232</v>
      </c>
      <c r="R14" s="36"/>
      <c r="S14" s="22">
        <v>3.36</v>
      </c>
      <c r="T14" s="22">
        <v>12</v>
      </c>
      <c r="U14" s="22">
        <v>3.5</v>
      </c>
      <c r="V14" s="22">
        <v>10.5</v>
      </c>
      <c r="W14" s="22">
        <v>7</v>
      </c>
      <c r="X14" s="22">
        <v>12</v>
      </c>
      <c r="Y14" s="13">
        <v>21</v>
      </c>
      <c r="Z14" s="22">
        <f t="shared" si="2"/>
        <v>0.51041666666666663</v>
      </c>
      <c r="AA14" s="13">
        <v>21</v>
      </c>
      <c r="AB14" s="13">
        <v>4</v>
      </c>
      <c r="AC14" s="13">
        <v>84</v>
      </c>
      <c r="AD14" s="13">
        <f t="shared" si="3"/>
        <v>48</v>
      </c>
      <c r="AE14" s="13">
        <f t="shared" si="4"/>
        <v>1764</v>
      </c>
      <c r="AG14" s="28" t="str">
        <f>"6x750ml C"</f>
        <v>6x750ml C</v>
      </c>
    </row>
    <row r="15" spans="1:33" x14ac:dyDescent="0.25">
      <c r="A15" s="10" t="e">
        <f>IF(#REF!=0,"Hide","Show")</f>
        <v>#REF!</v>
      </c>
      <c r="B15" s="32" t="str">
        <f>"Quinta do Noval"</f>
        <v>Quinta do Noval</v>
      </c>
      <c r="C15" s="33" t="str">
        <f>"Colheita Vintage Tawny"</f>
        <v>Colheita Vintage Tawny</v>
      </c>
      <c r="D15" s="34">
        <v>3</v>
      </c>
      <c r="E15" s="34">
        <v>750</v>
      </c>
      <c r="F15" s="34" t="str">
        <f>"2000"</f>
        <v>2000</v>
      </c>
      <c r="G15" s="34" t="str">
        <f>"Red"</f>
        <v>Red</v>
      </c>
      <c r="H15" s="35" t="str">
        <f>"PORTO"</f>
        <v>PORTO</v>
      </c>
      <c r="I15" s="35" t="str">
        <f>"PORT BLEND"</f>
        <v>PORT BLEND</v>
      </c>
      <c r="J15" s="13" t="s">
        <v>72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21</v>
      </c>
      <c r="O15" s="13" t="str">
        <f t="shared" ref="O15:O16" si="10">IF(LEN(Q15)=12,"UPC",IF(LEN(Q15)&gt;12,"EAN",""))</f>
        <v>UPC</v>
      </c>
      <c r="P15" s="13" t="str">
        <f t="shared" ref="P15:P16" si="11">IF(ISNUMBER(SEARCH("Gift",AG15)),"Gift Box","")</f>
        <v/>
      </c>
      <c r="Q15" s="36" t="str">
        <f>"895991002146"</f>
        <v>895991002146</v>
      </c>
      <c r="R15" s="36"/>
      <c r="S15" s="22">
        <v>3.36</v>
      </c>
      <c r="T15" s="22">
        <v>12</v>
      </c>
      <c r="U15" s="22">
        <v>0</v>
      </c>
      <c r="V15" s="22">
        <v>10.5</v>
      </c>
      <c r="W15" s="22">
        <v>9.5</v>
      </c>
      <c r="X15" s="22">
        <v>5.2</v>
      </c>
      <c r="Y15" s="13">
        <v>9.5</v>
      </c>
      <c r="Z15" s="22">
        <f t="shared" ref="Z15:Z16" si="12">IF(V15&gt;0,(V15*W15*X15)/1728,"")</f>
        <v>0.30017361111111113</v>
      </c>
      <c r="AA15" s="13">
        <v>43</v>
      </c>
      <c r="AB15" s="13">
        <v>5</v>
      </c>
      <c r="AC15" s="13">
        <v>215</v>
      </c>
      <c r="AD15" s="13">
        <f t="shared" ref="AD15:AD16" si="13">IF(AB15&gt;0,AB15*X15,"")</f>
        <v>26</v>
      </c>
      <c r="AE15" s="13">
        <f t="shared" ref="AE15:AE16" si="14">IF(Y15&gt;0,Y15*(AA15*AB15),"")</f>
        <v>2042.5</v>
      </c>
      <c r="AG15" s="28" t="str">
        <f>"3x750ml C"</f>
        <v>3x750ml C</v>
      </c>
    </row>
    <row r="16" spans="1:33" x14ac:dyDescent="0.25">
      <c r="A16" s="10" t="e">
        <f>IF(#REF!=0,"Hide","Show")</f>
        <v>#REF!</v>
      </c>
      <c r="B16" s="32" t="str">
        <f>"Quinta do Noval"</f>
        <v>Quinta do Noval</v>
      </c>
      <c r="C16" s="33" t="str">
        <f>"Colheita Vintage Tawny"</f>
        <v>Colheita Vintage Tawny</v>
      </c>
      <c r="D16" s="34">
        <v>3</v>
      </c>
      <c r="E16" s="34">
        <v>750</v>
      </c>
      <c r="F16" s="34" t="str">
        <f>"2003"</f>
        <v>2003</v>
      </c>
      <c r="G16" s="34" t="str">
        <f>"Red"</f>
        <v>Red</v>
      </c>
      <c r="H16" s="35" t="str">
        <f>"PORTO"</f>
        <v>PORTO</v>
      </c>
      <c r="I16" s="35" t="str">
        <f>"PORT BLEND"</f>
        <v>PORT BLEND</v>
      </c>
      <c r="J16" s="13" t="s">
        <v>72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21</v>
      </c>
      <c r="O16" s="13" t="str">
        <f t="shared" si="10"/>
        <v>UPC</v>
      </c>
      <c r="P16" s="13" t="str">
        <f t="shared" si="11"/>
        <v/>
      </c>
      <c r="Q16" s="36" t="str">
        <f>"895991002146"</f>
        <v>895991002146</v>
      </c>
      <c r="R16" s="36"/>
      <c r="S16" s="22">
        <v>3.36</v>
      </c>
      <c r="T16" s="22">
        <v>12</v>
      </c>
      <c r="U16" s="22">
        <v>0</v>
      </c>
      <c r="V16" s="22">
        <v>10.5</v>
      </c>
      <c r="W16" s="22">
        <v>9.5</v>
      </c>
      <c r="X16" s="22">
        <v>5.2</v>
      </c>
      <c r="Y16" s="13">
        <v>9.5</v>
      </c>
      <c r="Z16" s="22">
        <f t="shared" si="12"/>
        <v>0.30017361111111113</v>
      </c>
      <c r="AA16" s="13">
        <v>43</v>
      </c>
      <c r="AB16" s="13">
        <v>5</v>
      </c>
      <c r="AC16" s="13">
        <v>215</v>
      </c>
      <c r="AD16" s="13">
        <f t="shared" si="13"/>
        <v>26</v>
      </c>
      <c r="AE16" s="13">
        <f t="shared" si="14"/>
        <v>2042.5</v>
      </c>
      <c r="AG16" s="28" t="str">
        <f>"3x750ml C"</f>
        <v>3x750ml C</v>
      </c>
    </row>
    <row r="17" spans="1:33" x14ac:dyDescent="0.25">
      <c r="A17" s="10" t="e">
        <f>IF(#REF!=0,"Hide","Show")</f>
        <v>#REF!</v>
      </c>
      <c r="B17" s="32" t="str">
        <f>"Quinta do Noval"</f>
        <v>Quinta do Noval</v>
      </c>
      <c r="C17" s="33" t="str">
        <f>"Vintage Port"</f>
        <v>Vintage Port</v>
      </c>
      <c r="D17" s="34">
        <v>6</v>
      </c>
      <c r="E17" s="34">
        <v>750</v>
      </c>
      <c r="F17" s="34" t="str">
        <f>"2012"</f>
        <v>2012</v>
      </c>
      <c r="G17" s="34" t="str">
        <f>"Red"</f>
        <v>Red</v>
      </c>
      <c r="H17" s="35" t="str">
        <f>"PORTO"</f>
        <v>PORTO</v>
      </c>
      <c r="I17" s="35" t="str">
        <f>"PORT BLEND"</f>
        <v>PORT BLEND</v>
      </c>
      <c r="J17" s="13" t="s">
        <v>72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19.5</v>
      </c>
      <c r="O17" s="13" t="str">
        <f t="shared" si="0"/>
        <v>UPC</v>
      </c>
      <c r="P17" s="13" t="str">
        <f t="shared" si="1"/>
        <v/>
      </c>
      <c r="Q17" s="36" t="str">
        <f>"895991002160"</f>
        <v>895991002160</v>
      </c>
      <c r="R17" s="36"/>
      <c r="S17" s="22">
        <v>3.14</v>
      </c>
      <c r="T17" s="22">
        <v>12</v>
      </c>
      <c r="U17" s="22">
        <v>3.8333299999999997</v>
      </c>
      <c r="V17" s="22">
        <v>21</v>
      </c>
      <c r="W17" s="22">
        <v>13</v>
      </c>
      <c r="X17" s="22">
        <v>5</v>
      </c>
      <c r="Y17" s="13">
        <v>23</v>
      </c>
      <c r="Z17" s="22">
        <f t="shared" si="2"/>
        <v>0.78993055555555558</v>
      </c>
      <c r="AA17" s="13">
        <v>12</v>
      </c>
      <c r="AB17" s="13">
        <v>7</v>
      </c>
      <c r="AC17" s="13">
        <v>84</v>
      </c>
      <c r="AD17" s="13">
        <f t="shared" si="3"/>
        <v>35</v>
      </c>
      <c r="AE17" s="13">
        <f t="shared" si="4"/>
        <v>1932</v>
      </c>
      <c r="AG17" s="28" t="str">
        <f>"6x750ml W"</f>
        <v>6x750ml W</v>
      </c>
    </row>
    <row r="18" spans="1:33" x14ac:dyDescent="0.25">
      <c r="A18" s="10" t="e">
        <f>IF(#REF!=0,"Hide","Show")</f>
        <v>#REF!</v>
      </c>
      <c r="B18" s="32" t="str">
        <f>"Quinta do Noval"</f>
        <v>Quinta do Noval</v>
      </c>
      <c r="C18" s="33" t="str">
        <f>"Vintage Port"</f>
        <v>Vintage Port</v>
      </c>
      <c r="D18" s="34">
        <v>6</v>
      </c>
      <c r="E18" s="34">
        <v>750</v>
      </c>
      <c r="F18" s="34" t="str">
        <f>"2013"</f>
        <v>2013</v>
      </c>
      <c r="G18" s="34" t="str">
        <f>"Red"</f>
        <v>Red</v>
      </c>
      <c r="H18" s="35" t="str">
        <f>"PORTO"</f>
        <v>PORTO</v>
      </c>
      <c r="I18" s="35" t="str">
        <f>"PORT BLEND"</f>
        <v>PORT BLEND</v>
      </c>
      <c r="J18" s="13" t="s">
        <v>72</v>
      </c>
      <c r="K18" s="13" t="str">
        <f>VLOOKUP(B18,Sheet1!$A:$D,2,FALSE)</f>
        <v>No</v>
      </c>
      <c r="L18" s="13" t="str">
        <f>VLOOKUP(B18,Sheet1!$A:$D,3,FALSE)</f>
        <v>Yes</v>
      </c>
      <c r="M18" s="13" t="str">
        <f>VLOOKUP(B18,Sheet1!$A:$D,4,FALSE)</f>
        <v>No</v>
      </c>
      <c r="N18" s="9">
        <v>19.5</v>
      </c>
      <c r="O18" s="13" t="str">
        <f t="shared" ref="O18:O20" si="15">IF(LEN(Q18)=12,"UPC",IF(LEN(Q18)&gt;12,"EAN",""))</f>
        <v>UPC</v>
      </c>
      <c r="P18" s="13" t="str">
        <f t="shared" ref="P18:P20" si="16">IF(ISNUMBER(SEARCH("Gift",AG18)),"Gift Box","")</f>
        <v/>
      </c>
      <c r="Q18" s="36" t="str">
        <f>"895991002160"</f>
        <v>895991002160</v>
      </c>
      <c r="R18" s="36"/>
      <c r="S18" s="22">
        <v>3.14</v>
      </c>
      <c r="T18" s="22">
        <v>12</v>
      </c>
      <c r="U18" s="22">
        <v>3.8333299999999997</v>
      </c>
      <c r="V18" s="22">
        <v>21</v>
      </c>
      <c r="W18" s="22">
        <v>13</v>
      </c>
      <c r="X18" s="22">
        <v>5</v>
      </c>
      <c r="Y18" s="13">
        <v>23</v>
      </c>
      <c r="Z18" s="22">
        <f t="shared" ref="Z18:Z20" si="17">IF(V18&gt;0,(V18*W18*X18)/1728,"")</f>
        <v>0.78993055555555558</v>
      </c>
      <c r="AA18" s="13">
        <v>12</v>
      </c>
      <c r="AB18" s="13">
        <v>7</v>
      </c>
      <c r="AC18" s="13">
        <v>84</v>
      </c>
      <c r="AD18" s="13">
        <f t="shared" ref="AD18:AD20" si="18">IF(AB18&gt;0,AB18*X18,"")</f>
        <v>35</v>
      </c>
      <c r="AE18" s="13">
        <f t="shared" ref="AE18:AE20" si="19">IF(Y18&gt;0,Y18*(AA18*AB18),"")</f>
        <v>1932</v>
      </c>
      <c r="AG18" s="28" t="str">
        <f>"6x750ml W"</f>
        <v>6x750ml W</v>
      </c>
    </row>
    <row r="19" spans="1:33" x14ac:dyDescent="0.25">
      <c r="A19" s="10" t="e">
        <f>IF(#REF!=0,"Hide","Show")</f>
        <v>#REF!</v>
      </c>
      <c r="B19" s="32" t="str">
        <f>"Quinta do Noval"</f>
        <v>Quinta do Noval</v>
      </c>
      <c r="C19" s="33" t="str">
        <f>"Vintage Port"</f>
        <v>Vintage Port</v>
      </c>
      <c r="D19" s="34">
        <v>6</v>
      </c>
      <c r="E19" s="34">
        <v>750</v>
      </c>
      <c r="F19" s="34" t="str">
        <f>"2015"</f>
        <v>2015</v>
      </c>
      <c r="G19" s="34" t="str">
        <f>"Red"</f>
        <v>Red</v>
      </c>
      <c r="H19" s="35" t="str">
        <f>"PORTO"</f>
        <v>PORTO</v>
      </c>
      <c r="I19" s="35" t="str">
        <f>"PORT BLEND"</f>
        <v>PORT BLEND</v>
      </c>
      <c r="J19" s="13" t="s">
        <v>72</v>
      </c>
      <c r="K19" s="13" t="str">
        <f>VLOOKUP(B19,Sheet1!$A:$D,2,FALSE)</f>
        <v>No</v>
      </c>
      <c r="L19" s="13" t="str">
        <f>VLOOKUP(B19,Sheet1!$A:$D,3,FALSE)</f>
        <v>Yes</v>
      </c>
      <c r="M19" s="13" t="str">
        <f>VLOOKUP(B19,Sheet1!$A:$D,4,FALSE)</f>
        <v>No</v>
      </c>
      <c r="N19" s="9">
        <v>19.5</v>
      </c>
      <c r="O19" s="13" t="str">
        <f t="shared" si="15"/>
        <v>UPC</v>
      </c>
      <c r="P19" s="13" t="str">
        <f t="shared" si="16"/>
        <v/>
      </c>
      <c r="Q19" s="36" t="str">
        <f>"895991002160"</f>
        <v>895991002160</v>
      </c>
      <c r="R19" s="36"/>
      <c r="S19" s="22">
        <v>3.14</v>
      </c>
      <c r="T19" s="22">
        <v>12</v>
      </c>
      <c r="U19" s="22">
        <v>3.8333299999999997</v>
      </c>
      <c r="V19" s="22">
        <v>21</v>
      </c>
      <c r="W19" s="22">
        <v>13</v>
      </c>
      <c r="X19" s="22">
        <v>5</v>
      </c>
      <c r="Y19" s="13">
        <v>23</v>
      </c>
      <c r="Z19" s="22">
        <f t="shared" si="17"/>
        <v>0.78993055555555558</v>
      </c>
      <c r="AA19" s="13">
        <v>14</v>
      </c>
      <c r="AB19" s="13">
        <v>6</v>
      </c>
      <c r="AC19" s="13">
        <v>84</v>
      </c>
      <c r="AD19" s="13">
        <f t="shared" si="18"/>
        <v>30</v>
      </c>
      <c r="AE19" s="13">
        <f t="shared" si="19"/>
        <v>1932</v>
      </c>
      <c r="AG19" s="28" t="str">
        <f>"6x750ml W"</f>
        <v>6x750ml W</v>
      </c>
    </row>
    <row r="20" spans="1:33" x14ac:dyDescent="0.25">
      <c r="A20" s="10" t="e">
        <f>IF(#REF!=0,"Hide","Show")</f>
        <v>#REF!</v>
      </c>
      <c r="B20" s="32" t="str">
        <f>"Quinta do Noval"</f>
        <v>Quinta do Noval</v>
      </c>
      <c r="C20" s="33" t="str">
        <f>"Vintage Port"</f>
        <v>Vintage Port</v>
      </c>
      <c r="D20" s="34">
        <v>6</v>
      </c>
      <c r="E20" s="34">
        <v>750</v>
      </c>
      <c r="F20" s="34" t="str">
        <f>"2016"</f>
        <v>2016</v>
      </c>
      <c r="G20" s="34" t="str">
        <f>"Red"</f>
        <v>Red</v>
      </c>
      <c r="H20" s="35" t="str">
        <f>"PORTO"</f>
        <v>PORTO</v>
      </c>
      <c r="I20" s="35" t="str">
        <f>"PORT BLEND"</f>
        <v>PORT BLEND</v>
      </c>
      <c r="J20" s="13" t="s">
        <v>72</v>
      </c>
      <c r="K20" s="13" t="str">
        <f>VLOOKUP(B20,Sheet1!$A:$D,2,FALSE)</f>
        <v>No</v>
      </c>
      <c r="L20" s="13" t="str">
        <f>VLOOKUP(B20,Sheet1!$A:$D,3,FALSE)</f>
        <v>Yes</v>
      </c>
      <c r="M20" s="13" t="str">
        <f>VLOOKUP(B20,Sheet1!$A:$D,4,FALSE)</f>
        <v>No</v>
      </c>
      <c r="N20" s="9">
        <v>19.5</v>
      </c>
      <c r="O20" s="13" t="str">
        <f t="shared" si="15"/>
        <v>UPC</v>
      </c>
      <c r="P20" s="13" t="str">
        <f t="shared" si="16"/>
        <v/>
      </c>
      <c r="Q20" s="36" t="str">
        <f>"895991002160"</f>
        <v>895991002160</v>
      </c>
      <c r="R20" s="36"/>
      <c r="S20" s="22">
        <v>3.14</v>
      </c>
      <c r="T20" s="22">
        <v>12</v>
      </c>
      <c r="U20" s="22">
        <v>3.8333299999999997</v>
      </c>
      <c r="V20" s="22">
        <v>21</v>
      </c>
      <c r="W20" s="22">
        <v>13</v>
      </c>
      <c r="X20" s="22">
        <v>5</v>
      </c>
      <c r="Y20" s="13">
        <v>23</v>
      </c>
      <c r="Z20" s="22">
        <f t="shared" si="17"/>
        <v>0.78993055555555558</v>
      </c>
      <c r="AA20" s="13">
        <v>14</v>
      </c>
      <c r="AB20" s="13">
        <v>6</v>
      </c>
      <c r="AC20" s="13">
        <v>84</v>
      </c>
      <c r="AD20" s="13">
        <f t="shared" si="18"/>
        <v>30</v>
      </c>
      <c r="AE20" s="13">
        <f t="shared" si="19"/>
        <v>1932</v>
      </c>
      <c r="AG20" s="28" t="str">
        <f>"6x750ml W"</f>
        <v>6x750ml W</v>
      </c>
    </row>
    <row r="21" spans="1:33" x14ac:dyDescent="0.25">
      <c r="A21" s="10" t="e">
        <f>IF(#REF!=0,"Hide","Show")</f>
        <v>#REF!</v>
      </c>
      <c r="B21" s="32" t="s">
        <v>65</v>
      </c>
      <c r="C21" s="33" t="s">
        <v>87</v>
      </c>
      <c r="D21" s="34">
        <v>3</v>
      </c>
      <c r="E21" s="34">
        <v>750</v>
      </c>
      <c r="F21" s="34" t="s">
        <v>110</v>
      </c>
      <c r="G21" s="34" t="s">
        <v>78</v>
      </c>
      <c r="H21" s="35" t="s">
        <v>112</v>
      </c>
      <c r="I21" s="35" t="s">
        <v>80</v>
      </c>
      <c r="J21" s="13" t="s">
        <v>72</v>
      </c>
      <c r="K21" s="13" t="str">
        <f>VLOOKUP(B21,Sheet1!$A:$D,2,FALSE)</f>
        <v>No</v>
      </c>
      <c r="L21" s="13" t="str">
        <f>VLOOKUP(B21,Sheet1!$A:$D,3,FALSE)</f>
        <v>Yes</v>
      </c>
      <c r="M21" s="13" t="str">
        <f>VLOOKUP(B21,Sheet1!$A:$D,4,FALSE)</f>
        <v>No</v>
      </c>
      <c r="N21" s="9">
        <v>19.5</v>
      </c>
      <c r="O21" s="13" t="str">
        <f t="shared" si="0"/>
        <v>UPC</v>
      </c>
      <c r="P21" s="13" t="str">
        <f t="shared" si="1"/>
        <v/>
      </c>
      <c r="Q21" s="36" t="s">
        <v>96</v>
      </c>
      <c r="R21" s="36" t="s">
        <v>22</v>
      </c>
      <c r="S21" s="22">
        <v>0</v>
      </c>
      <c r="T21" s="22">
        <v>0</v>
      </c>
      <c r="U21" s="22">
        <v>4</v>
      </c>
      <c r="V21" s="22">
        <v>11</v>
      </c>
      <c r="W21" s="22">
        <v>13</v>
      </c>
      <c r="X21" s="22">
        <v>5</v>
      </c>
      <c r="Y21" s="13">
        <v>12</v>
      </c>
      <c r="Z21" s="22">
        <f t="shared" si="2"/>
        <v>0.41377314814814814</v>
      </c>
      <c r="AA21" s="13">
        <v>12</v>
      </c>
      <c r="AB21" s="13">
        <v>7</v>
      </c>
      <c r="AC21" s="13">
        <v>84</v>
      </c>
      <c r="AD21" s="13">
        <f t="shared" si="3"/>
        <v>35</v>
      </c>
      <c r="AE21" s="13">
        <f t="shared" si="4"/>
        <v>1008</v>
      </c>
      <c r="AG21" s="28" t="s">
        <v>73</v>
      </c>
    </row>
    <row r="22" spans="1:33" x14ac:dyDescent="0.25">
      <c r="A22" s="10" t="e">
        <f>IF(#REF!=0,"Hide","Show")</f>
        <v>#REF!</v>
      </c>
      <c r="B22" s="32" t="s">
        <v>65</v>
      </c>
      <c r="C22" s="33" t="s">
        <v>88</v>
      </c>
      <c r="D22" s="34">
        <v>12</v>
      </c>
      <c r="E22" s="34">
        <v>750</v>
      </c>
      <c r="F22" s="34" t="s">
        <v>108</v>
      </c>
      <c r="G22" s="34" t="s">
        <v>111</v>
      </c>
      <c r="H22" s="35" t="s">
        <v>112</v>
      </c>
      <c r="I22" s="35" t="s">
        <v>80</v>
      </c>
      <c r="J22" s="13" t="s">
        <v>72</v>
      </c>
      <c r="K22" s="13" t="str">
        <f>VLOOKUP(B22,Sheet1!$A:$D,2,FALSE)</f>
        <v>No</v>
      </c>
      <c r="L22" s="13" t="str">
        <f>VLOOKUP(B22,Sheet1!$A:$D,3,FALSE)</f>
        <v>Yes</v>
      </c>
      <c r="M22" s="13" t="str">
        <f>VLOOKUP(B22,Sheet1!$A:$D,4,FALSE)</f>
        <v>No</v>
      </c>
      <c r="N22" s="9">
        <v>19.5</v>
      </c>
      <c r="O22" s="13" t="str">
        <f t="shared" si="0"/>
        <v>UPC</v>
      </c>
      <c r="P22" s="13" t="str">
        <f t="shared" si="1"/>
        <v/>
      </c>
      <c r="Q22" s="36" t="s">
        <v>97</v>
      </c>
      <c r="R22" s="36" t="s">
        <v>22</v>
      </c>
      <c r="S22" s="22">
        <v>3.35</v>
      </c>
      <c r="T22" s="22">
        <v>12</v>
      </c>
      <c r="U22" s="22">
        <v>0</v>
      </c>
      <c r="V22" s="22">
        <v>14</v>
      </c>
      <c r="W22" s="22">
        <v>11</v>
      </c>
      <c r="X22" s="22">
        <v>12</v>
      </c>
      <c r="Y22" s="13">
        <v>36</v>
      </c>
      <c r="Z22" s="22">
        <f t="shared" si="2"/>
        <v>1.0694444444444444</v>
      </c>
      <c r="AA22" s="13">
        <v>10</v>
      </c>
      <c r="AB22" s="13">
        <v>5</v>
      </c>
      <c r="AC22" s="13">
        <v>50</v>
      </c>
      <c r="AD22" s="13">
        <f t="shared" si="3"/>
        <v>60</v>
      </c>
      <c r="AE22" s="13">
        <f t="shared" si="4"/>
        <v>1800</v>
      </c>
      <c r="AG22" s="28" t="s">
        <v>74</v>
      </c>
    </row>
    <row r="23" spans="1:33" ht="6" customHeight="1" x14ac:dyDescent="0.25">
      <c r="B23" s="15"/>
      <c r="C23" s="12"/>
      <c r="D23" s="12"/>
      <c r="E23" s="12"/>
      <c r="F23" s="1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"/>
      <c r="T23" s="24"/>
      <c r="U23" s="24"/>
      <c r="V23" s="24"/>
      <c r="W23" s="24"/>
      <c r="X23" s="24"/>
      <c r="Y23" s="12"/>
      <c r="Z23" s="12"/>
      <c r="AA23" s="12"/>
      <c r="AB23" s="12"/>
      <c r="AC23" s="12"/>
      <c r="AD23" s="12"/>
      <c r="AE23" s="12"/>
      <c r="AG23" s="27"/>
    </row>
    <row r="24" spans="1:33" x14ac:dyDescent="0.25">
      <c r="B24" s="21" t="str">
        <f>"DRY WINES"</f>
        <v>DRY WINES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3"/>
      <c r="T24" s="23"/>
      <c r="U24" s="23"/>
      <c r="V24" s="23"/>
      <c r="W24" s="23"/>
      <c r="X24" s="23"/>
      <c r="Y24" s="11"/>
      <c r="Z24" s="11"/>
      <c r="AA24" s="11"/>
      <c r="AB24" s="11"/>
      <c r="AC24" s="11"/>
      <c r="AD24" s="11"/>
      <c r="AE24" s="11"/>
      <c r="AG24" s="28"/>
    </row>
    <row r="25" spans="1:33" x14ac:dyDescent="0.25">
      <c r="A25" s="10" t="e">
        <f>IF(#REF!=0,"Hide","Show")</f>
        <v>#REF!</v>
      </c>
      <c r="B25" s="32" t="s">
        <v>65</v>
      </c>
      <c r="C25" s="33" t="s">
        <v>76</v>
      </c>
      <c r="D25" s="34">
        <v>12</v>
      </c>
      <c r="E25" s="34">
        <v>750</v>
      </c>
      <c r="F25" s="34" t="s">
        <v>77</v>
      </c>
      <c r="G25" s="34" t="s">
        <v>78</v>
      </c>
      <c r="H25" s="35" t="s">
        <v>79</v>
      </c>
      <c r="I25" s="35" t="s">
        <v>80</v>
      </c>
      <c r="J25" s="13" t="s">
        <v>72</v>
      </c>
      <c r="K25" s="13" t="str">
        <f>VLOOKUP(B25,Sheet1!$A:$D,2,FALSE)</f>
        <v>No</v>
      </c>
      <c r="L25" s="13" t="str">
        <f>VLOOKUP(B25,Sheet1!$A:$D,3,FALSE)</f>
        <v>Yes</v>
      </c>
      <c r="M25" s="13" t="str">
        <f>VLOOKUP(B25,Sheet1!$A:$D,4,FALSE)</f>
        <v>No</v>
      </c>
      <c r="N25" s="9">
        <v>13.5</v>
      </c>
      <c r="O25" s="13" t="str">
        <f>IF(LEN(Q25)=12,"UPC",IF(LEN(Q25)&gt;12,"EAN",""))</f>
        <v>UPC</v>
      </c>
      <c r="P25" s="13" t="str">
        <f>IF(ISNUMBER(SEARCH("Gift",AG25)),"Gift Box","")</f>
        <v/>
      </c>
      <c r="Q25" s="36" t="s">
        <v>98</v>
      </c>
      <c r="R25" s="36" t="s">
        <v>22</v>
      </c>
      <c r="S25" s="22">
        <v>3.23</v>
      </c>
      <c r="T25" s="22">
        <v>12</v>
      </c>
      <c r="U25" s="22">
        <v>3.25</v>
      </c>
      <c r="V25" s="22">
        <v>13</v>
      </c>
      <c r="W25" s="22">
        <v>12</v>
      </c>
      <c r="X25" s="22">
        <v>13</v>
      </c>
      <c r="Y25" s="13">
        <v>39</v>
      </c>
      <c r="Z25" s="22">
        <f>IF(V25&gt;0,(V25*W25*X25)/1728,"")</f>
        <v>1.1736111111111112</v>
      </c>
      <c r="AA25" s="13">
        <v>9</v>
      </c>
      <c r="AB25" s="13">
        <v>5</v>
      </c>
      <c r="AC25" s="13">
        <v>45</v>
      </c>
      <c r="AD25" s="13">
        <f>IF(AB25&gt;0,AB25*X25,"")</f>
        <v>65</v>
      </c>
      <c r="AE25" s="13">
        <f>IF(Y25&gt;0,Y25*(AA25*AB25),"")</f>
        <v>1755</v>
      </c>
      <c r="AG25" s="28" t="s">
        <v>74</v>
      </c>
    </row>
    <row r="26" spans="1:33" x14ac:dyDescent="0.25">
      <c r="A26" s="10" t="e">
        <f>IF(#REF!=0,"Hide","Show")</f>
        <v>#REF!</v>
      </c>
      <c r="B26" s="32" t="s">
        <v>65</v>
      </c>
      <c r="C26" s="33" t="s">
        <v>81</v>
      </c>
      <c r="D26" s="34">
        <v>6</v>
      </c>
      <c r="E26" s="34">
        <v>750</v>
      </c>
      <c r="F26" s="34" t="s">
        <v>82</v>
      </c>
      <c r="G26" s="34" t="s">
        <v>78</v>
      </c>
      <c r="H26" s="35" t="s">
        <v>83</v>
      </c>
      <c r="I26" s="35" t="s">
        <v>84</v>
      </c>
      <c r="J26" s="13" t="s">
        <v>72</v>
      </c>
      <c r="K26" s="13" t="str">
        <f>VLOOKUP(B26,Sheet1!$A:$D,2,FALSE)</f>
        <v>No</v>
      </c>
      <c r="L26" s="13" t="str">
        <f>VLOOKUP(B26,Sheet1!$A:$D,3,FALSE)</f>
        <v>Yes</v>
      </c>
      <c r="M26" s="13" t="str">
        <f>VLOOKUP(B26,Sheet1!$A:$D,4,FALSE)</f>
        <v>No</v>
      </c>
      <c r="N26" s="9">
        <v>14.5</v>
      </c>
      <c r="O26" s="13" t="str">
        <f t="shared" ref="O26:O27" si="20">IF(LEN(Q26)=12,"UPC",IF(LEN(Q26)&gt;12,"EAN",""))</f>
        <v>UPC</v>
      </c>
      <c r="P26" s="13" t="str">
        <f t="shared" ref="P26:P27" si="21">IF(ISNUMBER(SEARCH("Gift",AG26)),"Gift Box","")</f>
        <v/>
      </c>
      <c r="Q26" s="36" t="s">
        <v>99</v>
      </c>
      <c r="R26" s="36" t="s">
        <v>22</v>
      </c>
      <c r="S26" s="22">
        <v>0</v>
      </c>
      <c r="T26" s="22">
        <v>0</v>
      </c>
      <c r="U26" s="22">
        <v>3.5</v>
      </c>
      <c r="V26" s="22">
        <v>10</v>
      </c>
      <c r="W26" s="22">
        <v>7</v>
      </c>
      <c r="X26" s="22">
        <v>12</v>
      </c>
      <c r="Y26" s="13">
        <v>21</v>
      </c>
      <c r="Z26" s="22">
        <f t="shared" ref="Z26:Z27" si="22">IF(V26&gt;0,(V26*W26*X26)/1728,"")</f>
        <v>0.4861111111111111</v>
      </c>
      <c r="AA26" s="13">
        <v>7</v>
      </c>
      <c r="AB26" s="13">
        <v>12</v>
      </c>
      <c r="AC26" s="13">
        <v>84</v>
      </c>
      <c r="AD26" s="13">
        <f t="shared" ref="AD26:AD27" si="23">IF(AB26&gt;0,AB26*X26,"")</f>
        <v>144</v>
      </c>
      <c r="AE26" s="13">
        <f t="shared" ref="AE26:AE27" si="24">IF(Y26&gt;0,Y26*(AA26*AB26),"")</f>
        <v>1764</v>
      </c>
      <c r="AG26" s="28" t="s">
        <v>75</v>
      </c>
    </row>
    <row r="27" spans="1:33" x14ac:dyDescent="0.25">
      <c r="A27" s="10" t="e">
        <f>IF(#REF!=0,"Hide","Show")</f>
        <v>#REF!</v>
      </c>
      <c r="B27" s="32" t="s">
        <v>65</v>
      </c>
      <c r="C27" s="33" t="s">
        <v>85</v>
      </c>
      <c r="D27" s="34">
        <v>12</v>
      </c>
      <c r="E27" s="34">
        <v>750</v>
      </c>
      <c r="F27" s="34" t="s">
        <v>86</v>
      </c>
      <c r="G27" s="34" t="s">
        <v>78</v>
      </c>
      <c r="H27" s="35" t="s">
        <v>83</v>
      </c>
      <c r="I27" s="35" t="s">
        <v>84</v>
      </c>
      <c r="J27" s="13" t="s">
        <v>72</v>
      </c>
      <c r="K27" s="13" t="str">
        <f>VLOOKUP(B27,Sheet1!$A:$D,2,FALSE)</f>
        <v>No</v>
      </c>
      <c r="L27" s="13" t="str">
        <f>VLOOKUP(B27,Sheet1!$A:$D,3,FALSE)</f>
        <v>Yes</v>
      </c>
      <c r="M27" s="13" t="str">
        <f>VLOOKUP(B27,Sheet1!$A:$D,4,FALSE)</f>
        <v>No</v>
      </c>
      <c r="N27" s="9">
        <v>13</v>
      </c>
      <c r="O27" s="13" t="str">
        <f t="shared" si="20"/>
        <v>EAN</v>
      </c>
      <c r="P27" s="13" t="str">
        <f t="shared" si="21"/>
        <v/>
      </c>
      <c r="Q27" s="36" t="s">
        <v>100</v>
      </c>
      <c r="R27" s="36" t="s">
        <v>22</v>
      </c>
      <c r="S27" s="22">
        <v>2.83</v>
      </c>
      <c r="T27" s="22">
        <v>12.3</v>
      </c>
      <c r="U27" s="22">
        <v>3</v>
      </c>
      <c r="V27" s="22">
        <v>10</v>
      </c>
      <c r="W27" s="22">
        <v>7</v>
      </c>
      <c r="X27" s="22">
        <v>12.3</v>
      </c>
      <c r="Y27" s="13">
        <v>36</v>
      </c>
      <c r="Z27" s="22">
        <f t="shared" si="22"/>
        <v>0.4982638888888889</v>
      </c>
      <c r="AA27" s="13">
        <v>12</v>
      </c>
      <c r="AB27" s="13">
        <v>7</v>
      </c>
      <c r="AC27" s="13">
        <v>84</v>
      </c>
      <c r="AD27" s="13">
        <f t="shared" si="23"/>
        <v>86.100000000000009</v>
      </c>
      <c r="AE27" s="13">
        <f t="shared" si="24"/>
        <v>3024</v>
      </c>
      <c r="AG27" s="28" t="s">
        <v>74</v>
      </c>
    </row>
    <row r="28" spans="1:33" ht="6" customHeight="1" x14ac:dyDescent="0.25">
      <c r="B28" s="15"/>
      <c r="C28" s="12"/>
      <c r="D28" s="12"/>
      <c r="E28" s="12"/>
      <c r="F28" s="19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4"/>
      <c r="T28" s="24"/>
      <c r="U28" s="24"/>
      <c r="V28" s="24"/>
      <c r="W28" s="24"/>
      <c r="X28" s="24"/>
      <c r="Y28" s="12"/>
      <c r="Z28" s="12"/>
      <c r="AA28" s="12"/>
      <c r="AB28" s="12"/>
      <c r="AC28" s="12"/>
      <c r="AD28" s="12"/>
      <c r="AE28" s="12"/>
      <c r="AG28" s="27"/>
    </row>
    <row r="29" spans="1:33" x14ac:dyDescent="0.25">
      <c r="B29" s="16"/>
      <c r="C29" s="20"/>
      <c r="D29" s="17"/>
      <c r="E29" s="20"/>
      <c r="F29" s="17"/>
      <c r="G29" s="17"/>
      <c r="H29" s="17"/>
      <c r="I29" s="17"/>
      <c r="J29" s="17"/>
      <c r="K29" s="17"/>
      <c r="L29" s="17"/>
      <c r="M29" s="17"/>
      <c r="N29" s="20"/>
      <c r="O29" s="20"/>
      <c r="P29" s="20"/>
      <c r="Q29" s="20"/>
      <c r="R29" s="20"/>
      <c r="S29" s="25"/>
      <c r="T29" s="25"/>
      <c r="U29" s="25"/>
      <c r="V29" s="25"/>
      <c r="W29" s="25"/>
      <c r="X29" s="25"/>
      <c r="Y29" s="20"/>
      <c r="Z29" s="20"/>
      <c r="AA29" s="20"/>
      <c r="AB29" s="20"/>
      <c r="AC29" s="20"/>
      <c r="AD29" s="20"/>
      <c r="AE29" s="20"/>
      <c r="AG29" s="27"/>
    </row>
    <row r="30" spans="1:33" ht="6" customHeight="1" x14ac:dyDescent="0.25"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23"/>
      <c r="T30" s="23"/>
      <c r="U30" s="23"/>
      <c r="V30" s="23"/>
      <c r="W30" s="23"/>
      <c r="X30" s="23"/>
      <c r="Y30" s="11"/>
      <c r="Z30" s="11"/>
      <c r="AA30" s="11"/>
      <c r="AB30" s="11"/>
      <c r="AC30" s="11"/>
      <c r="AD30" s="11"/>
      <c r="AE30" s="11"/>
      <c r="AG30" s="27"/>
    </row>
    <row r="31" spans="1:33" x14ac:dyDescent="0.25">
      <c r="B31" s="10"/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8"/>
      <c r="T32" s="8"/>
      <c r="U32" s="8"/>
      <c r="V32" s="8"/>
      <c r="W32" s="8"/>
      <c r="X32" s="8"/>
      <c r="Y32" s="18"/>
      <c r="Z32" s="18"/>
      <c r="AA32" s="18"/>
      <c r="AB32" s="18"/>
      <c r="AC32" s="18"/>
      <c r="AD32" s="18"/>
      <c r="AE32" s="18"/>
      <c r="AG32" s="27"/>
    </row>
    <row r="33" spans="5:33" x14ac:dyDescent="0.25"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5:33" x14ac:dyDescent="0.25">
      <c r="E34" s="10"/>
      <c r="N34" s="10"/>
      <c r="O34" s="10"/>
      <c r="P34" s="10"/>
      <c r="Q34" s="10"/>
      <c r="R34" s="10"/>
      <c r="S34" s="6"/>
      <c r="T34" s="6"/>
      <c r="U34" s="6"/>
      <c r="V34" s="6"/>
      <c r="W34" s="6"/>
      <c r="X34" s="6"/>
      <c r="Y34" s="10"/>
      <c r="Z34" s="10"/>
      <c r="AA34" s="10"/>
      <c r="AB34" s="10"/>
      <c r="AD34" s="10"/>
      <c r="AE34" s="10"/>
      <c r="AG34" s="27"/>
    </row>
    <row r="35" spans="5:33" x14ac:dyDescent="0.25">
      <c r="E35" s="10"/>
      <c r="N35" s="10"/>
      <c r="O35" s="10"/>
      <c r="P35" s="10"/>
      <c r="Q35" s="10"/>
      <c r="R35" s="10"/>
      <c r="S35" s="6"/>
      <c r="T35" s="6"/>
      <c r="U35" s="6"/>
      <c r="V35" s="6"/>
      <c r="W35" s="6"/>
      <c r="X35" s="6"/>
      <c r="Y35" s="10"/>
      <c r="Z35" s="10"/>
      <c r="AA35" s="10"/>
      <c r="AB35" s="10"/>
      <c r="AD35" s="10"/>
      <c r="AE35" s="10"/>
      <c r="AG35" s="27"/>
    </row>
    <row r="36" spans="5:33" x14ac:dyDescent="0.25">
      <c r="E36" s="10"/>
      <c r="N36" s="10"/>
      <c r="O36" s="10"/>
      <c r="P36" s="10"/>
      <c r="Q36" s="10"/>
      <c r="R36" s="10"/>
      <c r="S36" s="6"/>
      <c r="T36" s="6"/>
      <c r="U36" s="6"/>
      <c r="V36" s="6"/>
      <c r="W36" s="6"/>
      <c r="X36" s="6"/>
      <c r="Y36" s="10"/>
      <c r="Z36" s="10"/>
      <c r="AA36" s="10"/>
      <c r="AB36" s="10"/>
      <c r="AD36" s="10"/>
      <c r="AE36" s="10"/>
      <c r="AG36" s="27"/>
    </row>
    <row r="37" spans="5:33" x14ac:dyDescent="0.25">
      <c r="AG37" s="27"/>
    </row>
    <row r="38" spans="5:33" x14ac:dyDescent="0.25">
      <c r="AG38" s="27"/>
    </row>
    <row r="39" spans="5:33" x14ac:dyDescent="0.25">
      <c r="AG39" s="27"/>
    </row>
    <row r="40" spans="5:33" x14ac:dyDescent="0.25">
      <c r="AG40" s="27"/>
    </row>
    <row r="41" spans="5:33" x14ac:dyDescent="0.25">
      <c r="AG41" s="27"/>
    </row>
    <row r="42" spans="5:33" x14ac:dyDescent="0.25">
      <c r="AG42" s="27"/>
    </row>
    <row r="43" spans="5:33" x14ac:dyDescent="0.25">
      <c r="AG43" s="27"/>
    </row>
    <row r="44" spans="5:33" x14ac:dyDescent="0.25">
      <c r="AG44" s="27"/>
    </row>
    <row r="45" spans="5:33" x14ac:dyDescent="0.25">
      <c r="AG45" s="27"/>
    </row>
    <row r="46" spans="5:33" x14ac:dyDescent="0.25">
      <c r="AG46" s="27"/>
    </row>
    <row r="47" spans="5:33" x14ac:dyDescent="0.25">
      <c r="AG47" s="27"/>
    </row>
    <row r="48" spans="5:33" x14ac:dyDescent="0.25">
      <c r="AG48" s="27"/>
    </row>
    <row r="49" spans="33:33" x14ac:dyDescent="0.25">
      <c r="AG49" s="27"/>
    </row>
  </sheetData>
  <mergeCells count="1">
    <mergeCell ref="B1:C1"/>
  </mergeCells>
  <conditionalFormatting sqref="S5:Y5 AA5:AB5">
    <cfRule type="cellIs" dxfId="7" priority="8" operator="lessThan">
      <formula>0</formula>
    </cfRule>
  </conditionalFormatting>
  <conditionalFormatting sqref="S25:Y25 AA25:AB25">
    <cfRule type="cellIs" dxfId="6" priority="7" operator="lessThan">
      <formula>0</formula>
    </cfRule>
  </conditionalFormatting>
  <conditionalFormatting sqref="S7:Y10 AA7:AB10 AA21:AB22 S21:Y22 AA17:AB17 S17:Y17 AA12:AB14 S12:Y14">
    <cfRule type="cellIs" dxfId="5" priority="6" operator="lessThan">
      <formula>0</formula>
    </cfRule>
  </conditionalFormatting>
  <conditionalFormatting sqref="S26:Y27 AA26:AB27">
    <cfRule type="cellIs" dxfId="4" priority="5" operator="lessThan">
      <formula>0</formula>
    </cfRule>
  </conditionalFormatting>
  <conditionalFormatting sqref="S6:Y6 AA6:AB6">
    <cfRule type="cellIs" dxfId="3" priority="4" operator="lessThan">
      <formula>0</formula>
    </cfRule>
  </conditionalFormatting>
  <conditionalFormatting sqref="S18:Y20 AA18:AB20">
    <cfRule type="cellIs" dxfId="2" priority="3" operator="lessThan">
      <formula>0</formula>
    </cfRule>
  </conditionalFormatting>
  <conditionalFormatting sqref="S15:Y16 AA15:AB16">
    <cfRule type="cellIs" dxfId="1" priority="2" operator="lessThan">
      <formula>0</formula>
    </cfRule>
  </conditionalFormatting>
  <conditionalFormatting sqref="S11:Y11 AA11:AB11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