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13_ncr:1_{CC067F84-A7F2-4405-9A54-58F6FDA0DC3A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21" i="100" l="1"/>
  <c r="Z21" i="100" l="1"/>
  <c r="AE21" i="100"/>
  <c r="AD21" i="100"/>
  <c r="O21" i="100"/>
  <c r="L21" i="100"/>
  <c r="K21" i="100"/>
  <c r="M21" i="100"/>
  <c r="P21" i="100"/>
  <c r="A18" i="100"/>
  <c r="AD18" i="100" l="1"/>
  <c r="AE18" i="100"/>
  <c r="Z18" i="100"/>
  <c r="O18" i="100"/>
  <c r="K18" i="100"/>
  <c r="M18" i="100"/>
  <c r="L18" i="100"/>
  <c r="P18" i="100"/>
  <c r="A12" i="100" l="1"/>
  <c r="AD12" i="100" l="1"/>
  <c r="AE12" i="100"/>
  <c r="Z12" i="100"/>
  <c r="O12" i="100"/>
  <c r="P12" i="100"/>
  <c r="K12" i="100"/>
  <c r="M12" i="100"/>
  <c r="L12" i="100"/>
  <c r="AG5" i="100"/>
  <c r="AG6" i="100"/>
  <c r="P6" i="100" s="1"/>
  <c r="AG7" i="100"/>
  <c r="AG8" i="100"/>
  <c r="AG9" i="100"/>
  <c r="I5" i="100"/>
  <c r="I6" i="100"/>
  <c r="I7" i="100"/>
  <c r="I8" i="100"/>
  <c r="I9" i="100"/>
  <c r="H5" i="100"/>
  <c r="H6" i="100"/>
  <c r="H7" i="100"/>
  <c r="H8" i="100"/>
  <c r="H9" i="100"/>
  <c r="G5" i="100"/>
  <c r="G6" i="100"/>
  <c r="G7" i="100"/>
  <c r="G8" i="100"/>
  <c r="G9" i="100"/>
  <c r="F5" i="100"/>
  <c r="F6" i="100"/>
  <c r="F7" i="100"/>
  <c r="F8" i="100"/>
  <c r="F9" i="100"/>
  <c r="C5" i="100"/>
  <c r="C6" i="100"/>
  <c r="C7" i="100"/>
  <c r="C8" i="100"/>
  <c r="C9" i="100"/>
  <c r="B5" i="100"/>
  <c r="B6" i="100"/>
  <c r="L6" i="100" s="1"/>
  <c r="B7" i="100"/>
  <c r="M7" i="100" s="1"/>
  <c r="B8" i="100"/>
  <c r="L8" i="100" s="1"/>
  <c r="B9" i="100"/>
  <c r="R5" i="100"/>
  <c r="R6" i="100"/>
  <c r="R7" i="100"/>
  <c r="R8" i="100"/>
  <c r="R9" i="100"/>
  <c r="Q5" i="100"/>
  <c r="Q6" i="100"/>
  <c r="O6" i="100" s="1"/>
  <c r="Q7" i="100"/>
  <c r="Q8" i="100"/>
  <c r="O8" i="100" s="1"/>
  <c r="Q9" i="100"/>
  <c r="AE9" i="100"/>
  <c r="AD9" i="100"/>
  <c r="Z9" i="100"/>
  <c r="P9" i="100"/>
  <c r="O9" i="100"/>
  <c r="M9" i="100"/>
  <c r="L9" i="100"/>
  <c r="K9" i="100"/>
  <c r="A9" i="100"/>
  <c r="AE8" i="100"/>
  <c r="AD8" i="100"/>
  <c r="Z8" i="100"/>
  <c r="P8" i="100"/>
  <c r="A8" i="100"/>
  <c r="AE7" i="100"/>
  <c r="AD7" i="100"/>
  <c r="Z7" i="100"/>
  <c r="P7" i="100"/>
  <c r="O7" i="100"/>
  <c r="L7" i="100"/>
  <c r="A7" i="100"/>
  <c r="AE6" i="100"/>
  <c r="AD6" i="100"/>
  <c r="Z6" i="100"/>
  <c r="M6" i="100"/>
  <c r="A6" i="100"/>
  <c r="A23" i="100"/>
  <c r="A22" i="100"/>
  <c r="A20" i="100"/>
  <c r="A19" i="100"/>
  <c r="A14" i="100"/>
  <c r="A13" i="100"/>
  <c r="A11" i="100"/>
  <c r="A10" i="100"/>
  <c r="B16" i="100"/>
  <c r="B25" i="100"/>
  <c r="A26" i="100"/>
  <c r="A17" i="100"/>
  <c r="M8" i="100" l="1"/>
  <c r="K6" i="100"/>
  <c r="K7" i="100"/>
  <c r="K8" i="100"/>
  <c r="A5" i="100"/>
  <c r="M5" i="100" l="1"/>
  <c r="L5" i="100"/>
  <c r="K5" i="100"/>
  <c r="O5" i="100"/>
  <c r="P5" i="100" l="1"/>
  <c r="AD10" i="100" l="1"/>
  <c r="AE10" i="100"/>
  <c r="Z10" i="100"/>
  <c r="O10" i="100"/>
  <c r="L10" i="100"/>
  <c r="K10" i="100"/>
  <c r="M10" i="100"/>
  <c r="P10" i="100"/>
  <c r="Z5" i="100"/>
  <c r="AD11" i="100" l="1"/>
  <c r="AE11" i="100"/>
  <c r="Z11" i="100"/>
  <c r="O11" i="100"/>
  <c r="L11" i="100"/>
  <c r="K11" i="100"/>
  <c r="M11" i="100"/>
  <c r="P11" i="100"/>
  <c r="AD5" i="100"/>
  <c r="AE5" i="100"/>
  <c r="AD14" i="100" l="1"/>
  <c r="AE14" i="100"/>
  <c r="Z14" i="100"/>
  <c r="AD13" i="100"/>
  <c r="AE13" i="100"/>
  <c r="Z13" i="100"/>
  <c r="O14" i="100"/>
  <c r="O13" i="100"/>
  <c r="L14" i="100"/>
  <c r="K14" i="100"/>
  <c r="M14" i="100"/>
  <c r="P14" i="100"/>
  <c r="L13" i="100"/>
  <c r="K13" i="100"/>
  <c r="M13" i="100"/>
  <c r="P13" i="100"/>
  <c r="AD17" i="100" l="1"/>
  <c r="Z17" i="100"/>
  <c r="AE17" i="100"/>
  <c r="O17" i="100"/>
  <c r="M17" i="100"/>
  <c r="L17" i="100"/>
  <c r="K17" i="100"/>
  <c r="P17" i="100"/>
  <c r="AD19" i="100" l="1"/>
  <c r="AE19" i="100"/>
  <c r="Z19" i="100"/>
  <c r="O19" i="100"/>
  <c r="K19" i="100"/>
  <c r="M19" i="100"/>
  <c r="L19" i="100"/>
  <c r="P19" i="100"/>
  <c r="AE26" i="100"/>
  <c r="Z26" i="100"/>
  <c r="AD26" i="100"/>
  <c r="O26" i="100"/>
  <c r="P26" i="100"/>
  <c r="M26" i="100"/>
  <c r="L26" i="100"/>
  <c r="K26" i="100"/>
  <c r="AD20" i="100" l="1"/>
  <c r="AE20" i="100"/>
  <c r="Z20" i="100"/>
  <c r="O20" i="100"/>
  <c r="L20" i="100"/>
  <c r="K20" i="100"/>
  <c r="M20" i="100"/>
  <c r="P20" i="100"/>
  <c r="AD22" i="100" l="1"/>
  <c r="AE22" i="100"/>
  <c r="Z22" i="100"/>
  <c r="O22" i="100"/>
  <c r="L22" i="100"/>
  <c r="K22" i="100"/>
  <c r="M22" i="100"/>
  <c r="P22" i="100"/>
  <c r="AD23" i="100" l="1"/>
  <c r="AE23" i="100"/>
  <c r="Z23" i="100"/>
  <c r="O23" i="100"/>
  <c r="L23" i="100"/>
  <c r="K23" i="100"/>
  <c r="M23" i="100"/>
  <c r="P23" i="100"/>
</calcChain>
</file>

<file path=xl/sharedStrings.xml><?xml version="1.0" encoding="utf-8"?>
<sst xmlns="http://schemas.openxmlformats.org/spreadsheetml/2006/main" count="316" uniqueCount="127">
  <si>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</si>
  <si>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</si>
  <si>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</si>
  <si>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</si>
  <si>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</si>
  <si>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</si>
  <si>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</si>
  <si>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</si>
  <si>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</si>
  <si>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</si>
  <si>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</si>
  <si>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</si>
  <si>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</si>
  <si>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</si>
  <si>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</si>
  <si>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</si>
  <si>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</si>
  <si>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</si>
  <si>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</si>
  <si>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</si>
  <si>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</si>
  <si>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</si>
  <si>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</si>
  <si>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</si>
  <si>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</si>
  <si>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</si>
  <si>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</si>
  <si>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</si>
  <si>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</si>
  <si>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</si>
  <si>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</si>
  <si>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</si>
  <si>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</si>
  <si>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</si>
  <si>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</si>
  <si>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</si>
  <si>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</si>
  <si>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</si>
  <si>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</si>
  <si>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</si>
  <si>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</si>
  <si>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</si>
  <si>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</si>
  <si>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</si>
  <si>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</si>
  <si>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</si>
  <si>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</si>
  <si>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</si>
  <si>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</si>
  <si>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</si>
  <si>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</si>
  <si>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</si>
  <si>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</si>
  <si>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</si>
  <si>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</si>
  <si>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</si>
  <si>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</si>
  <si>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</si>
  <si>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</si>
  <si>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</si>
  <si>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</si>
  <si>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</si>
  <si>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</si>
  <si>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</si>
  <si>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</si>
  <si>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</si>
  <si>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</si>
  <si>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</si>
  <si>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</si>
  <si>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</si>
  <si>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</si>
  <si>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GREAT WINES</t>
  </si>
  <si>
    <t>6x750ml W</t>
  </si>
  <si>
    <t>3x750ml W</t>
  </si>
  <si>
    <t xml:space="preserve">6x750ml Gift </t>
  </si>
  <si>
    <t>12x750ml C</t>
  </si>
  <si>
    <t>Rafael Valpolicella Classico Superiore</t>
  </si>
  <si>
    <t>2016</t>
  </si>
  <si>
    <t>Red</t>
  </si>
  <si>
    <t>VALPOLICELLA CL SUP</t>
  </si>
  <si>
    <t>VENETO RED BLEND</t>
  </si>
  <si>
    <t>CORK</t>
  </si>
  <si>
    <t>2017</t>
  </si>
  <si>
    <t>Le Rosse Pinot Grigio</t>
  </si>
  <si>
    <t>White</t>
  </si>
  <si>
    <t>DELLE VENEZIE IGT</t>
  </si>
  <si>
    <t>PINOT GRIGIO</t>
  </si>
  <si>
    <t>Screwcap</t>
  </si>
  <si>
    <t>Le Volpare Soave</t>
  </si>
  <si>
    <t>SOAVE</t>
  </si>
  <si>
    <t>Le Prunee Merlot</t>
  </si>
  <si>
    <t>MERLOT</t>
  </si>
  <si>
    <t>Le Fornaci Lugana</t>
  </si>
  <si>
    <t>LUGANA</t>
  </si>
  <si>
    <t>TREBBIANODILUGANA</t>
  </si>
  <si>
    <t>Tenuta Filodora Prosecco</t>
  </si>
  <si>
    <t>NV</t>
  </si>
  <si>
    <t>PROSECCO</t>
  </si>
  <si>
    <t>GLERA</t>
  </si>
  <si>
    <t>2015</t>
  </si>
  <si>
    <t>30087675011150</t>
  </si>
  <si>
    <t>20087675011153</t>
  </si>
  <si>
    <t>10087675059844</t>
  </si>
  <si>
    <t>10087675029342</t>
  </si>
  <si>
    <t>10087675021643</t>
  </si>
  <si>
    <t>10087675021148</t>
  </si>
  <si>
    <t>10087675029847</t>
  </si>
  <si>
    <t>10087675021544</t>
  </si>
  <si>
    <t>10087675091141</t>
  </si>
  <si>
    <t>Ca' Florian Amarone Riserva</t>
  </si>
  <si>
    <t>2010</t>
  </si>
  <si>
    <t>AMARONE CLASSICO</t>
  </si>
  <si>
    <t>De Buris</t>
  </si>
  <si>
    <t>2008</t>
  </si>
  <si>
    <t>Ripasso Valpolicella Classico Sup</t>
  </si>
  <si>
    <t>Arele Parziale Appassimento</t>
  </si>
  <si>
    <t>VERONESE IGT</t>
  </si>
  <si>
    <t>087675040142</t>
  </si>
  <si>
    <t>087675011159</t>
  </si>
  <si>
    <t>087675059847</t>
  </si>
  <si>
    <t>087675058147</t>
  </si>
  <si>
    <t>087675029345</t>
  </si>
  <si>
    <t>087675021646</t>
  </si>
  <si>
    <t>087675021141</t>
  </si>
  <si>
    <t>087675029840</t>
  </si>
  <si>
    <t>087675021547</t>
  </si>
  <si>
    <t>087675091144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</si>
</sst>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C36" sqref="C3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"Tommasi"</f>
        <v>Tommasi</v>
      </c>
      <c r="C5" s="33" t="str">
        <f>"Amarone Classico"</f>
        <v>Amarone Classico</v>
      </c>
      <c r="D5" s="34">
        <v>1</v>
      </c>
      <c r="E5" s="34">
        <v>3000</v>
      </c>
      <c r="F5" s="34" t="str">
        <f>"2012"</f>
        <v>2012</v>
      </c>
      <c r="G5" s="34" t="str">
        <f>"Red"</f>
        <v>Red</v>
      </c>
      <c r="H5" s="35" t="str">
        <f>"AMARONE CLASSICO"</f>
        <v>AMARONE CLASSICO</v>
      </c>
      <c r="I5" s="35" t="str">
        <f>"VENETO RED BLEND"</f>
        <v>VENETO RED BLEND</v>
      </c>
      <c r="J5" s="13" t="s">
        <v>81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"087675030617"</f>
        <v>087675030617</v>
      </c>
      <c r="R5" s="36" t="str">
        <f>"60087675030619"</f>
        <v>60087675030619</v>
      </c>
      <c r="S5" s="22">
        <v>0</v>
      </c>
      <c r="T5" s="22">
        <v>0</v>
      </c>
      <c r="U5" s="22">
        <v>14</v>
      </c>
      <c r="V5" s="22">
        <v>0</v>
      </c>
      <c r="W5" s="22">
        <v>0</v>
      </c>
      <c r="X5" s="22">
        <v>0</v>
      </c>
      <c r="Y5" s="13">
        <v>14</v>
      </c>
      <c r="Z5" s="22" t="str">
        <f>IF(V5&gt;0,(V5*W5*X5)/1728,"")</f>
        <v/>
      </c>
      <c r="AA5" s="13">
        <v>8</v>
      </c>
      <c r="AB5" s="13">
        <v>8</v>
      </c>
      <c r="AC5" s="13">
        <v>64</v>
      </c>
      <c r="AD5" s="13">
        <f>IF(AB5&gt;0,AB5*X5,"")</f>
        <v>0</v>
      </c>
      <c r="AE5" s="13">
        <f>IF(Y5&gt;0,Y5*(AA5*AB5),"")</f>
        <v>896</v>
      </c>
      <c r="AG5" s="28" t="str">
        <f>"1x3L W"</f>
        <v>1x3L W</v>
      </c>
    </row>
    <row r="6" spans="1:33" x14ac:dyDescent="0.25">
      <c r="A6" s="10" t="e">
        <f>IF(#REF!=0,"Hide","Show")</f>
        <v>#REF!</v>
      </c>
      <c r="B6" s="32" t="str">
        <f>"Tommasi"</f>
        <v>Tommasi</v>
      </c>
      <c r="C6" s="33" t="str">
        <f>"Amarone Classico"</f>
        <v>Amarone Classico</v>
      </c>
      <c r="D6" s="34">
        <v>12</v>
      </c>
      <c r="E6" s="34">
        <v>375</v>
      </c>
      <c r="F6" s="34" t="str">
        <f>"2013"</f>
        <v>2013</v>
      </c>
      <c r="G6" s="34" t="str">
        <f>"Red"</f>
        <v>Red</v>
      </c>
      <c r="H6" s="35" t="str">
        <f>"AMARONE CLASSICO"</f>
        <v>AMARONE CLASSICO</v>
      </c>
      <c r="I6" s="35" t="str">
        <f>"VENETO RED BLEND"</f>
        <v>VENETO RED BLEND</v>
      </c>
      <c r="J6" s="13" t="s">
        <v>81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15</v>
      </c>
      <c r="O6" s="13" t="str">
        <f t="shared" ref="O6:O9" si="0">IF(LEN(Q6)=12,"UPC",IF(LEN(Q6)&gt;12,"EAN",""))</f>
        <v>UPC</v>
      </c>
      <c r="P6" s="13" t="str">
        <f t="shared" ref="P6:P9" si="1">IF(ISNUMBER(SEARCH("Gift",AG6)),"Gift Box","")</f>
        <v/>
      </c>
      <c r="Q6" s="36" t="str">
        <f>"087675039726"</f>
        <v>087675039726</v>
      </c>
      <c r="R6" s="36" t="str">
        <f>"10087675039723"</f>
        <v>10087675039723</v>
      </c>
      <c r="S6" s="22">
        <v>0</v>
      </c>
      <c r="T6" s="22">
        <v>0</v>
      </c>
      <c r="U6" s="22">
        <v>2</v>
      </c>
      <c r="V6" s="22">
        <v>11</v>
      </c>
      <c r="W6" s="22">
        <v>8</v>
      </c>
      <c r="X6" s="22">
        <v>11</v>
      </c>
      <c r="Y6" s="13">
        <v>25</v>
      </c>
      <c r="Z6" s="22">
        <f t="shared" ref="Z6:Z9" si="2">IF(V6&gt;0,(V6*W6*X6)/1728,"")</f>
        <v>0.56018518518518523</v>
      </c>
      <c r="AA6" s="13">
        <v>14</v>
      </c>
      <c r="AB6" s="13">
        <v>4</v>
      </c>
      <c r="AC6" s="13">
        <v>56</v>
      </c>
      <c r="AD6" s="13">
        <f t="shared" ref="AD6:AD9" si="3">IF(AB6&gt;0,AB6*X6,"")</f>
        <v>44</v>
      </c>
      <c r="AE6" s="13">
        <f t="shared" ref="AE6:AE9" si="4">IF(Y6&gt;0,Y6*(AA6*AB6),"")</f>
        <v>1400</v>
      </c>
      <c r="AG6" s="28" t="str">
        <f>"12x375ml C"</f>
        <v>12x375ml C</v>
      </c>
    </row>
    <row r="7" spans="1:33" x14ac:dyDescent="0.25">
      <c r="A7" s="10" t="e">
        <f>IF(#REF!=0,"Hide","Show")</f>
        <v>#REF!</v>
      </c>
      <c r="B7" s="32" t="str">
        <f>"Tommasi"</f>
        <v>Tommasi</v>
      </c>
      <c r="C7" s="33" t="str">
        <f>"Amarone Classico"</f>
        <v>Amarone Classico</v>
      </c>
      <c r="D7" s="34">
        <v>6</v>
      </c>
      <c r="E7" s="34">
        <v>750</v>
      </c>
      <c r="F7" s="34" t="str">
        <f>"2013"</f>
        <v>2013</v>
      </c>
      <c r="G7" s="34" t="str">
        <f>"Red"</f>
        <v>Red</v>
      </c>
      <c r="H7" s="35" t="str">
        <f>"AMARONE CLASSICO"</f>
        <v>AMARONE CLASSICO</v>
      </c>
      <c r="I7" s="35" t="str">
        <f>"VENETO RED BLEND"</f>
        <v>VENETO RED BLEND</v>
      </c>
      <c r="J7" s="13" t="s">
        <v>81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15</v>
      </c>
      <c r="O7" s="13" t="str">
        <f t="shared" si="0"/>
        <v>UPC</v>
      </c>
      <c r="P7" s="13" t="str">
        <f t="shared" si="1"/>
        <v/>
      </c>
      <c r="Q7" s="36" t="str">
        <f>"087675030549"</f>
        <v>087675030549</v>
      </c>
      <c r="R7" s="36" t="str">
        <f>"20087675030543"</f>
        <v>20087675030543</v>
      </c>
      <c r="S7" s="22">
        <v>3.23</v>
      </c>
      <c r="T7" s="22">
        <v>12.1</v>
      </c>
      <c r="U7" s="22">
        <v>3.3</v>
      </c>
      <c r="V7" s="22">
        <v>11</v>
      </c>
      <c r="W7" s="22">
        <v>7</v>
      </c>
      <c r="X7" s="22">
        <v>13</v>
      </c>
      <c r="Y7" s="13">
        <v>20</v>
      </c>
      <c r="Z7" s="22">
        <f t="shared" si="2"/>
        <v>0.57928240740740744</v>
      </c>
      <c r="AA7" s="13">
        <v>28</v>
      </c>
      <c r="AB7" s="13">
        <v>4</v>
      </c>
      <c r="AC7" s="13">
        <v>112</v>
      </c>
      <c r="AD7" s="13">
        <f t="shared" si="3"/>
        <v>52</v>
      </c>
      <c r="AE7" s="13">
        <f t="shared" si="4"/>
        <v>2240</v>
      </c>
      <c r="AG7" s="28" t="str">
        <f>"6x750ml C"</f>
        <v>6x750ml C</v>
      </c>
    </row>
    <row r="8" spans="1:33" x14ac:dyDescent="0.25">
      <c r="A8" s="10" t="e">
        <f>IF(#REF!=0,"Hide","Show")</f>
        <v>#REF!</v>
      </c>
      <c r="B8" s="32" t="str">
        <f>"Tommasi"</f>
        <v>Tommasi</v>
      </c>
      <c r="C8" s="33" t="str">
        <f>"Amarone Classico"</f>
        <v>Amarone Classico</v>
      </c>
      <c r="D8" s="34">
        <v>6</v>
      </c>
      <c r="E8" s="34">
        <v>1500</v>
      </c>
      <c r="F8" s="34" t="str">
        <f>"2013"</f>
        <v>2013</v>
      </c>
      <c r="G8" s="34" t="str">
        <f>"Red"</f>
        <v>Red</v>
      </c>
      <c r="H8" s="35" t="str">
        <f>"AMARONE CLASSICO"</f>
        <v>AMARONE CLASSICO</v>
      </c>
      <c r="I8" s="35" t="str">
        <f>"VENETO RED BLEND"</f>
        <v>VENETO RED BLEND</v>
      </c>
      <c r="J8" s="13" t="s">
        <v>81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15</v>
      </c>
      <c r="O8" s="13" t="str">
        <f t="shared" si="0"/>
        <v>UPC</v>
      </c>
      <c r="P8" s="13" t="str">
        <f t="shared" si="1"/>
        <v/>
      </c>
      <c r="Q8" s="36" t="str">
        <f>"087675030518"</f>
        <v>087675030518</v>
      </c>
      <c r="R8" s="36" t="str">
        <f>"20087675030512"</f>
        <v>20087675030512</v>
      </c>
      <c r="S8" s="22">
        <v>0</v>
      </c>
      <c r="T8" s="22">
        <v>0</v>
      </c>
      <c r="U8" s="22">
        <v>7</v>
      </c>
      <c r="V8" s="22">
        <v>12</v>
      </c>
      <c r="W8" s="22">
        <v>8</v>
      </c>
      <c r="X8" s="22">
        <v>14</v>
      </c>
      <c r="Y8" s="13">
        <v>42</v>
      </c>
      <c r="Z8" s="22">
        <f t="shared" si="2"/>
        <v>0.77777777777777779</v>
      </c>
      <c r="AA8" s="13">
        <v>14</v>
      </c>
      <c r="AB8" s="13">
        <v>4</v>
      </c>
      <c r="AC8" s="13">
        <v>56</v>
      </c>
      <c r="AD8" s="13">
        <f t="shared" si="3"/>
        <v>56</v>
      </c>
      <c r="AE8" s="13">
        <f t="shared" si="4"/>
        <v>2352</v>
      </c>
      <c r="AG8" s="28" t="str">
        <f>"6x1.5L C"</f>
        <v>6x1.5L C</v>
      </c>
    </row>
    <row r="9" spans="1:33" x14ac:dyDescent="0.25">
      <c r="A9" s="10" t="e">
        <f>IF(#REF!=0,"Hide","Show")</f>
        <v>#REF!</v>
      </c>
      <c r="B9" s="32" t="str">
        <f>"Tommasi"</f>
        <v>Tommasi</v>
      </c>
      <c r="C9" s="33" t="str">
        <f>"Amarone Classico"</f>
        <v>Amarone Classico</v>
      </c>
      <c r="D9" s="34">
        <v>12</v>
      </c>
      <c r="E9" s="34">
        <v>375</v>
      </c>
      <c r="F9" s="34" t="str">
        <f>"2015"</f>
        <v>2015</v>
      </c>
      <c r="G9" s="34" t="str">
        <f>"Red"</f>
        <v>Red</v>
      </c>
      <c r="H9" s="35" t="str">
        <f>"AMARONE CLASSICO"</f>
        <v>AMARONE CLASSICO</v>
      </c>
      <c r="I9" s="35" t="str">
        <f>"VENETO RED BLEND"</f>
        <v>VENETO RED BLEND</v>
      </c>
      <c r="J9" s="13" t="s">
        <v>81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15</v>
      </c>
      <c r="O9" s="13" t="str">
        <f t="shared" si="0"/>
        <v>UPC</v>
      </c>
      <c r="P9" s="13" t="str">
        <f t="shared" si="1"/>
        <v/>
      </c>
      <c r="Q9" s="36" t="str">
        <f>"087675039726"</f>
        <v>087675039726</v>
      </c>
      <c r="R9" s="36" t="str">
        <f>"10087675039723"</f>
        <v>10087675039723</v>
      </c>
      <c r="S9" s="22">
        <v>0</v>
      </c>
      <c r="T9" s="22">
        <v>0</v>
      </c>
      <c r="U9" s="22">
        <v>2</v>
      </c>
      <c r="V9" s="22">
        <v>11</v>
      </c>
      <c r="W9" s="22">
        <v>8</v>
      </c>
      <c r="X9" s="22">
        <v>11</v>
      </c>
      <c r="Y9" s="13">
        <v>25</v>
      </c>
      <c r="Z9" s="22">
        <f t="shared" si="2"/>
        <v>0.56018518518518523</v>
      </c>
      <c r="AA9" s="13">
        <v>14</v>
      </c>
      <c r="AB9" s="13">
        <v>4</v>
      </c>
      <c r="AC9" s="13">
        <v>56</v>
      </c>
      <c r="AD9" s="13">
        <f t="shared" si="3"/>
        <v>44</v>
      </c>
      <c r="AE9" s="13">
        <f t="shared" si="4"/>
        <v>1400</v>
      </c>
      <c r="AG9" s="28" t="str">
        <f>"12x375ml C"</f>
        <v>12x375ml C</v>
      </c>
    </row>
    <row r="10" spans="1:33" x14ac:dyDescent="0.25">
      <c r="A10" s="10" t="e">
        <f>IF(#REF!=0,"Hide","Show")</f>
        <v>#REF!</v>
      </c>
      <c r="B10" s="32" t="s">
        <v>70</v>
      </c>
      <c r="C10" s="33" t="s">
        <v>109</v>
      </c>
      <c r="D10" s="34">
        <v>6</v>
      </c>
      <c r="E10" s="34">
        <v>750</v>
      </c>
      <c r="F10" s="34" t="s">
        <v>110</v>
      </c>
      <c r="G10" s="34" t="s">
        <v>78</v>
      </c>
      <c r="H10" s="35" t="s">
        <v>111</v>
      </c>
      <c r="I10" s="35" t="s">
        <v>80</v>
      </c>
      <c r="J10" s="13" t="s">
        <v>81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15.5</v>
      </c>
      <c r="O10" s="13" t="str">
        <f t="shared" ref="O10:O14" si="5">IF(LEN(Q10)=12,"UPC",IF(LEN(Q10)&gt;12,"EAN",""))</f>
        <v>UPC</v>
      </c>
      <c r="P10" s="13" t="str">
        <f t="shared" ref="P10:P14" si="6">IF(ISNUMBER(SEARCH("Gift",AG10)),"Gift Box","")</f>
        <v/>
      </c>
      <c r="Q10" s="36" t="s">
        <v>117</v>
      </c>
      <c r="R10" s="36" t="s">
        <v>22</v>
      </c>
      <c r="S10" s="22">
        <v>0</v>
      </c>
      <c r="T10" s="22">
        <v>0</v>
      </c>
      <c r="U10" s="22">
        <v>4.1666700000000008</v>
      </c>
      <c r="V10" s="22">
        <v>0</v>
      </c>
      <c r="W10" s="22">
        <v>0</v>
      </c>
      <c r="X10" s="22">
        <v>0</v>
      </c>
      <c r="Y10" s="13">
        <v>25</v>
      </c>
      <c r="Z10" s="22" t="str">
        <f t="shared" ref="Z10:Z14" si="7">IF(V10&gt;0,(V10*W10*X10)/1728,"")</f>
        <v/>
      </c>
      <c r="AA10" s="13">
        <v>14</v>
      </c>
      <c r="AB10" s="13">
        <v>4</v>
      </c>
      <c r="AC10" s="13">
        <v>56</v>
      </c>
      <c r="AD10" s="13">
        <f t="shared" ref="AD10:AD14" si="8">IF(AB10&gt;0,AB10*X10,"")</f>
        <v>0</v>
      </c>
      <c r="AE10" s="13">
        <f t="shared" ref="AE10:AE14" si="9">IF(Y10&gt;0,Y10*(AA10*AB10),"")</f>
        <v>1400</v>
      </c>
      <c r="AG10" s="28" t="s">
        <v>72</v>
      </c>
    </row>
    <row r="11" spans="1:33" x14ac:dyDescent="0.25">
      <c r="A11" s="10" t="e">
        <f>IF(#REF!=0,"Hide","Show")</f>
        <v>#REF!</v>
      </c>
      <c r="B11" s="32" t="s">
        <v>70</v>
      </c>
      <c r="C11" s="33" t="s">
        <v>112</v>
      </c>
      <c r="D11" s="34">
        <v>3</v>
      </c>
      <c r="E11" s="34">
        <v>750</v>
      </c>
      <c r="F11" s="34" t="s">
        <v>113</v>
      </c>
      <c r="G11" s="34" t="s">
        <v>78</v>
      </c>
      <c r="H11" s="35" t="s">
        <v>79</v>
      </c>
      <c r="I11" s="35" t="s">
        <v>80</v>
      </c>
      <c r="J11" s="13" t="s">
        <v>81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15.5</v>
      </c>
      <c r="O11" s="13" t="str">
        <f t="shared" si="5"/>
        <v>UPC</v>
      </c>
      <c r="P11" s="13" t="str">
        <f t="shared" si="6"/>
        <v/>
      </c>
      <c r="Q11" s="36" t="s">
        <v>118</v>
      </c>
      <c r="R11" s="36" t="s">
        <v>100</v>
      </c>
      <c r="S11" s="22">
        <v>3.5</v>
      </c>
      <c r="T11" s="22">
        <v>12</v>
      </c>
      <c r="U11" s="22">
        <v>4</v>
      </c>
      <c r="V11" s="22">
        <v>17</v>
      </c>
      <c r="W11" s="22">
        <v>15</v>
      </c>
      <c r="X11" s="22">
        <v>5</v>
      </c>
      <c r="Y11" s="13">
        <v>17</v>
      </c>
      <c r="Z11" s="22">
        <f t="shared" si="7"/>
        <v>0.73784722222222221</v>
      </c>
      <c r="AA11" s="13">
        <v>10</v>
      </c>
      <c r="AB11" s="13">
        <v>4</v>
      </c>
      <c r="AC11" s="13">
        <v>40</v>
      </c>
      <c r="AD11" s="13">
        <f t="shared" si="8"/>
        <v>20</v>
      </c>
      <c r="AE11" s="13">
        <f t="shared" si="9"/>
        <v>680</v>
      </c>
      <c r="AG11" s="28" t="s">
        <v>73</v>
      </c>
    </row>
    <row r="12" spans="1:33" x14ac:dyDescent="0.25">
      <c r="A12" s="10" t="e">
        <f>IF(#REF!=0,"Hide","Show")</f>
        <v>#REF!</v>
      </c>
      <c r="B12" s="32" t="s">
        <v>70</v>
      </c>
      <c r="C12" s="33" t="s">
        <v>112</v>
      </c>
      <c r="D12" s="34">
        <v>6</v>
      </c>
      <c r="E12" s="34">
        <v>750</v>
      </c>
      <c r="F12" s="34" t="s">
        <v>113</v>
      </c>
      <c r="G12" s="34" t="s">
        <v>78</v>
      </c>
      <c r="H12" s="35" t="s">
        <v>79</v>
      </c>
      <c r="I12" s="35" t="s">
        <v>80</v>
      </c>
      <c r="J12" s="13" t="s">
        <v>81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15.5</v>
      </c>
      <c r="O12" s="13" t="str">
        <f t="shared" ref="O12" si="10">IF(LEN(Q12)=12,"UPC",IF(LEN(Q12)&gt;12,"EAN",""))</f>
        <v>UPC</v>
      </c>
      <c r="P12" s="13" t="str">
        <f t="shared" ref="P12" si="11">IF(ISNUMBER(SEARCH("Gift",AG12)),"Gift Box","")</f>
        <v>Gift Box</v>
      </c>
      <c r="Q12" s="36" t="s">
        <v>118</v>
      </c>
      <c r="R12" s="36" t="s">
        <v>101</v>
      </c>
      <c r="S12" s="22">
        <v>3.5</v>
      </c>
      <c r="T12" s="22">
        <v>12</v>
      </c>
      <c r="U12" s="22">
        <v>4</v>
      </c>
      <c r="V12" s="22">
        <v>18</v>
      </c>
      <c r="W12" s="22">
        <v>15</v>
      </c>
      <c r="X12" s="22">
        <v>10</v>
      </c>
      <c r="Y12" s="13">
        <v>35</v>
      </c>
      <c r="Z12" s="22">
        <f t="shared" ref="Z12" si="12">IF(V12&gt;0,(V12*W12*X12)/1728,"")</f>
        <v>1.5625</v>
      </c>
      <c r="AA12" s="13">
        <v>4</v>
      </c>
      <c r="AB12" s="13">
        <v>5</v>
      </c>
      <c r="AC12" s="13">
        <v>20</v>
      </c>
      <c r="AD12" s="13">
        <f t="shared" ref="AD12" si="13">IF(AB12&gt;0,AB12*X12,"")</f>
        <v>50</v>
      </c>
      <c r="AE12" s="13">
        <f t="shared" ref="AE12" si="14">IF(Y12&gt;0,Y12*(AA12*AB12),"")</f>
        <v>700</v>
      </c>
      <c r="AG12" s="28" t="s">
        <v>74</v>
      </c>
    </row>
    <row r="13" spans="1:33" x14ac:dyDescent="0.25">
      <c r="A13" s="10" t="e">
        <f>IF(#REF!=0,"Hide","Show")</f>
        <v>#REF!</v>
      </c>
      <c r="B13" s="32" t="s">
        <v>70</v>
      </c>
      <c r="C13" s="33" t="s">
        <v>114</v>
      </c>
      <c r="D13" s="34">
        <v>12</v>
      </c>
      <c r="E13" s="34">
        <v>750</v>
      </c>
      <c r="F13" s="34" t="s">
        <v>99</v>
      </c>
      <c r="G13" s="34" t="s">
        <v>78</v>
      </c>
      <c r="H13" s="35" t="s">
        <v>79</v>
      </c>
      <c r="I13" s="35" t="s">
        <v>80</v>
      </c>
      <c r="J13" s="13" t="s">
        <v>81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</v>
      </c>
      <c r="O13" s="13" t="str">
        <f t="shared" si="5"/>
        <v>UPC</v>
      </c>
      <c r="P13" s="13" t="str">
        <f t="shared" si="6"/>
        <v/>
      </c>
      <c r="Q13" s="36" t="s">
        <v>119</v>
      </c>
      <c r="R13" s="36" t="s">
        <v>102</v>
      </c>
      <c r="S13" s="22">
        <v>2.08</v>
      </c>
      <c r="T13" s="22">
        <v>13</v>
      </c>
      <c r="U13" s="22">
        <v>3.4166700000000003</v>
      </c>
      <c r="V13" s="22">
        <v>13</v>
      </c>
      <c r="W13" s="22">
        <v>10</v>
      </c>
      <c r="X13" s="22">
        <v>13</v>
      </c>
      <c r="Y13" s="13">
        <v>41</v>
      </c>
      <c r="Z13" s="22">
        <f t="shared" si="7"/>
        <v>0.9780092592592593</v>
      </c>
      <c r="AA13" s="13">
        <v>14</v>
      </c>
      <c r="AB13" s="13">
        <v>4</v>
      </c>
      <c r="AC13" s="13">
        <v>56</v>
      </c>
      <c r="AD13" s="13">
        <f t="shared" si="8"/>
        <v>52</v>
      </c>
      <c r="AE13" s="13">
        <f t="shared" si="9"/>
        <v>2296</v>
      </c>
      <c r="AG13" s="28" t="s">
        <v>75</v>
      </c>
    </row>
    <row r="14" spans="1:33" x14ac:dyDescent="0.25">
      <c r="A14" s="10" t="e">
        <f>IF(#REF!=0,"Hide","Show")</f>
        <v>#REF!</v>
      </c>
      <c r="B14" s="32" t="s">
        <v>70</v>
      </c>
      <c r="C14" s="33" t="s">
        <v>115</v>
      </c>
      <c r="D14" s="34">
        <v>12</v>
      </c>
      <c r="E14" s="34">
        <v>750</v>
      </c>
      <c r="F14" s="34" t="s">
        <v>99</v>
      </c>
      <c r="G14" s="34" t="s">
        <v>78</v>
      </c>
      <c r="H14" s="35" t="s">
        <v>116</v>
      </c>
      <c r="I14" s="35" t="s">
        <v>80</v>
      </c>
      <c r="J14" s="13" t="s">
        <v>81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13</v>
      </c>
      <c r="O14" s="13" t="str">
        <f t="shared" si="5"/>
        <v>UPC</v>
      </c>
      <c r="P14" s="13" t="str">
        <f t="shared" si="6"/>
        <v/>
      </c>
      <c r="Q14" s="36" t="s">
        <v>120</v>
      </c>
      <c r="R14" s="36" t="s">
        <v>22</v>
      </c>
      <c r="S14" s="22">
        <v>0</v>
      </c>
      <c r="T14" s="22">
        <v>0</v>
      </c>
      <c r="U14" s="22">
        <v>3.3333299999999997</v>
      </c>
      <c r="V14" s="22">
        <v>13</v>
      </c>
      <c r="W14" s="22">
        <v>13</v>
      </c>
      <c r="X14" s="22">
        <v>10</v>
      </c>
      <c r="Y14" s="13">
        <v>40</v>
      </c>
      <c r="Z14" s="22">
        <f t="shared" si="7"/>
        <v>0.9780092592592593</v>
      </c>
      <c r="AA14" s="13">
        <v>14</v>
      </c>
      <c r="AB14" s="13">
        <v>4</v>
      </c>
      <c r="AC14" s="13">
        <v>56</v>
      </c>
      <c r="AD14" s="13">
        <f t="shared" si="8"/>
        <v>40</v>
      </c>
      <c r="AE14" s="13">
        <f t="shared" si="9"/>
        <v>2240</v>
      </c>
      <c r="AG14" s="28" t="s">
        <v>75</v>
      </c>
    </row>
    <row r="15" spans="1:33" ht="6" customHeight="1" x14ac:dyDescent="0.25">
      <c r="B15" s="15"/>
      <c r="C15" s="12"/>
      <c r="D15" s="12"/>
      <c r="E15" s="12"/>
      <c r="F15" s="1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4"/>
      <c r="T15" s="24"/>
      <c r="U15" s="24"/>
      <c r="V15" s="24"/>
      <c r="W15" s="24"/>
      <c r="X15" s="24"/>
      <c r="Y15" s="12"/>
      <c r="Z15" s="12"/>
      <c r="AA15" s="12"/>
      <c r="AB15" s="12"/>
      <c r="AC15" s="12"/>
      <c r="AD15" s="12"/>
      <c r="AE15" s="12"/>
      <c r="AG15" s="27"/>
    </row>
    <row r="16" spans="1:33" x14ac:dyDescent="0.25">
      <c r="B16" s="21" t="str">
        <f>"SINGLE VINEYARDS"</f>
        <v>SINGLE VINEYARDS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3"/>
      <c r="T16" s="23"/>
      <c r="U16" s="23"/>
      <c r="V16" s="23"/>
      <c r="W16" s="23"/>
      <c r="X16" s="23"/>
      <c r="Y16" s="11"/>
      <c r="Z16" s="11"/>
      <c r="AA16" s="11"/>
      <c r="AB16" s="11"/>
      <c r="AC16" s="11"/>
      <c r="AD16" s="11"/>
      <c r="AE16" s="11"/>
      <c r="AG16" s="28"/>
    </row>
    <row r="17" spans="1:33" x14ac:dyDescent="0.25">
      <c r="A17" s="10" t="e">
        <f>IF(#REF!=0,"Hide","Show")</f>
        <v>#REF!</v>
      </c>
      <c r="B17" s="32" t="s">
        <v>70</v>
      </c>
      <c r="C17" s="33" t="s">
        <v>76</v>
      </c>
      <c r="D17" s="34">
        <v>12</v>
      </c>
      <c r="E17" s="34">
        <v>750</v>
      </c>
      <c r="F17" s="34" t="s">
        <v>77</v>
      </c>
      <c r="G17" s="34" t="s">
        <v>78</v>
      </c>
      <c r="H17" s="35" t="s">
        <v>79</v>
      </c>
      <c r="I17" s="35" t="s">
        <v>80</v>
      </c>
      <c r="J17" s="13" t="s">
        <v>81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12.5</v>
      </c>
      <c r="O17" s="13" t="str">
        <f t="shared" ref="O17" si="15">IF(LEN(Q17)=12,"UPC",IF(LEN(Q17)&gt;12,"EAN",""))</f>
        <v>UPC</v>
      </c>
      <c r="P17" s="13" t="str">
        <f t="shared" ref="P17" si="16">IF(ISNUMBER(SEARCH("Gift",AG17)),"Gift Box","")</f>
        <v/>
      </c>
      <c r="Q17" s="36" t="s">
        <v>121</v>
      </c>
      <c r="R17" s="36" t="s">
        <v>103</v>
      </c>
      <c r="S17" s="22">
        <v>3.04</v>
      </c>
      <c r="T17" s="22">
        <v>13</v>
      </c>
      <c r="U17" s="22">
        <v>2.9166699999999999</v>
      </c>
      <c r="V17" s="22">
        <v>12</v>
      </c>
      <c r="W17" s="22">
        <v>9</v>
      </c>
      <c r="X17" s="22">
        <v>14</v>
      </c>
      <c r="Y17" s="13">
        <v>35</v>
      </c>
      <c r="Z17" s="22">
        <f t="shared" ref="Z17" si="17">IF(V17&gt;0,(V17*W17*X17)/1728,"")</f>
        <v>0.875</v>
      </c>
      <c r="AA17" s="13">
        <v>14</v>
      </c>
      <c r="AB17" s="13">
        <v>4</v>
      </c>
      <c r="AC17" s="13">
        <v>56</v>
      </c>
      <c r="AD17" s="13">
        <f t="shared" ref="AD17" si="18">IF(AB17&gt;0,AB17*X17,"")</f>
        <v>56</v>
      </c>
      <c r="AE17" s="13">
        <f t="shared" ref="AE17" si="19">IF(Y17&gt;0,Y17*(AA17*AB17),"")</f>
        <v>1960</v>
      </c>
      <c r="AG17" s="28" t="s">
        <v>75</v>
      </c>
    </row>
    <row r="18" spans="1:33" x14ac:dyDescent="0.25">
      <c r="A18" s="10" t="e">
        <f>IF(#REF!=0,"Hide","Show")</f>
        <v>#REF!</v>
      </c>
      <c r="B18" s="32" t="s">
        <v>70</v>
      </c>
      <c r="C18" s="33" t="s">
        <v>76</v>
      </c>
      <c r="D18" s="34">
        <v>12</v>
      </c>
      <c r="E18" s="34">
        <v>750</v>
      </c>
      <c r="F18" s="34" t="s">
        <v>82</v>
      </c>
      <c r="G18" s="34" t="s">
        <v>78</v>
      </c>
      <c r="H18" s="35" t="s">
        <v>79</v>
      </c>
      <c r="I18" s="35" t="s">
        <v>80</v>
      </c>
      <c r="J18" s="13" t="s">
        <v>81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12.5</v>
      </c>
      <c r="O18" s="13" t="str">
        <f t="shared" ref="O18" si="20">IF(LEN(Q18)=12,"UPC",IF(LEN(Q18)&gt;12,"EAN",""))</f>
        <v>UPC</v>
      </c>
      <c r="P18" s="13" t="str">
        <f t="shared" ref="P18" si="21">IF(ISNUMBER(SEARCH("Gift",AG18)),"Gift Box","")</f>
        <v/>
      </c>
      <c r="Q18" s="36" t="s">
        <v>121</v>
      </c>
      <c r="R18" s="36" t="s">
        <v>103</v>
      </c>
      <c r="S18" s="22">
        <v>3.04</v>
      </c>
      <c r="T18" s="22">
        <v>13</v>
      </c>
      <c r="U18" s="22">
        <v>2.9166699999999999</v>
      </c>
      <c r="V18" s="22">
        <v>12</v>
      </c>
      <c r="W18" s="22">
        <v>9</v>
      </c>
      <c r="X18" s="22">
        <v>14</v>
      </c>
      <c r="Y18" s="13">
        <v>35</v>
      </c>
      <c r="Z18" s="22">
        <f t="shared" ref="Z18" si="22">IF(V18&gt;0,(V18*W18*X18)/1728,"")</f>
        <v>0.875</v>
      </c>
      <c r="AA18" s="13">
        <v>14</v>
      </c>
      <c r="AB18" s="13">
        <v>4</v>
      </c>
      <c r="AC18" s="13">
        <v>56</v>
      </c>
      <c r="AD18" s="13">
        <f t="shared" ref="AD18" si="23">IF(AB18&gt;0,AB18*X18,"")</f>
        <v>56</v>
      </c>
      <c r="AE18" s="13">
        <f t="shared" ref="AE18" si="24">IF(Y18&gt;0,Y18*(AA18*AB18),"")</f>
        <v>1960</v>
      </c>
      <c r="AG18" s="28" t="s">
        <v>75</v>
      </c>
    </row>
    <row r="19" spans="1:33" x14ac:dyDescent="0.25">
      <c r="A19" s="10" t="e">
        <f>IF(#REF!=0,"Hide","Show")</f>
        <v>#REF!</v>
      </c>
      <c r="B19" s="32" t="s">
        <v>70</v>
      </c>
      <c r="C19" s="33" t="s">
        <v>83</v>
      </c>
      <c r="D19" s="34">
        <v>12</v>
      </c>
      <c r="E19" s="34">
        <v>750</v>
      </c>
      <c r="F19" s="34" t="s">
        <v>82</v>
      </c>
      <c r="G19" s="34" t="s">
        <v>84</v>
      </c>
      <c r="H19" s="35" t="s">
        <v>85</v>
      </c>
      <c r="I19" s="35" t="s">
        <v>86</v>
      </c>
      <c r="J19" s="13" t="s">
        <v>87</v>
      </c>
      <c r="K19" s="13" t="str">
        <f>VLOOKUP(B19,Sheet1!$A:$D,2,FALSE)</f>
        <v>No</v>
      </c>
      <c r="L19" s="13" t="str">
        <f>VLOOKUP(B19,Sheet1!$A:$D,3,FALSE)</f>
        <v>Yes</v>
      </c>
      <c r="M19" s="13" t="str">
        <f>VLOOKUP(B19,Sheet1!$A:$D,4,FALSE)</f>
        <v>No</v>
      </c>
      <c r="N19" s="9">
        <v>12</v>
      </c>
      <c r="O19" s="13" t="str">
        <f t="shared" ref="O19:O23" si="25">IF(LEN(Q19)=12,"UPC",IF(LEN(Q19)&gt;12,"EAN",""))</f>
        <v>UPC</v>
      </c>
      <c r="P19" s="13" t="str">
        <f t="shared" ref="P19:P23" si="26">IF(ISNUMBER(SEARCH("Gift",AG19)),"Gift Box","")</f>
        <v/>
      </c>
      <c r="Q19" s="36" t="s">
        <v>122</v>
      </c>
      <c r="R19" s="36" t="s">
        <v>104</v>
      </c>
      <c r="S19" s="22">
        <v>3.04</v>
      </c>
      <c r="T19" s="22">
        <v>13</v>
      </c>
      <c r="U19" s="22">
        <v>2.9166699999999999</v>
      </c>
      <c r="V19" s="22">
        <v>13</v>
      </c>
      <c r="W19" s="22">
        <v>9</v>
      </c>
      <c r="X19" s="22">
        <v>13</v>
      </c>
      <c r="Y19" s="13">
        <v>35</v>
      </c>
      <c r="Z19" s="22">
        <f t="shared" ref="Z19:Z23" si="27">IF(V19&gt;0,(V19*W19*X19)/1728,"")</f>
        <v>0.88020833333333337</v>
      </c>
      <c r="AA19" s="13">
        <v>14</v>
      </c>
      <c r="AB19" s="13">
        <v>4</v>
      </c>
      <c r="AC19" s="13">
        <v>56</v>
      </c>
      <c r="AD19" s="13">
        <f t="shared" ref="AD19:AD23" si="28">IF(AB19&gt;0,AB19*X19,"")</f>
        <v>52</v>
      </c>
      <c r="AE19" s="13">
        <f t="shared" ref="AE19:AE23" si="29">IF(Y19&gt;0,Y19*(AA19*AB19),"")</f>
        <v>1960</v>
      </c>
      <c r="AG19" s="28" t="s">
        <v>75</v>
      </c>
    </row>
    <row r="20" spans="1:33" x14ac:dyDescent="0.25">
      <c r="A20" s="10" t="e">
        <f>IF(#REF!=0,"Hide","Show")</f>
        <v>#REF!</v>
      </c>
      <c r="B20" s="32" t="s">
        <v>70</v>
      </c>
      <c r="C20" s="33" t="s">
        <v>88</v>
      </c>
      <c r="D20" s="34">
        <v>12</v>
      </c>
      <c r="E20" s="34">
        <v>750</v>
      </c>
      <c r="F20" s="34" t="s">
        <v>77</v>
      </c>
      <c r="G20" s="34" t="s">
        <v>84</v>
      </c>
      <c r="H20" s="35" t="s">
        <v>89</v>
      </c>
      <c r="I20" s="35" t="s">
        <v>89</v>
      </c>
      <c r="J20" s="13" t="s">
        <v>81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12</v>
      </c>
      <c r="O20" s="13" t="str">
        <f t="shared" si="25"/>
        <v>UPC</v>
      </c>
      <c r="P20" s="13" t="str">
        <f t="shared" si="26"/>
        <v/>
      </c>
      <c r="Q20" s="36" t="s">
        <v>123</v>
      </c>
      <c r="R20" s="36" t="s">
        <v>105</v>
      </c>
      <c r="S20" s="22">
        <v>3.03</v>
      </c>
      <c r="T20" s="22">
        <v>11</v>
      </c>
      <c r="U20" s="22">
        <v>2.9166699999999999</v>
      </c>
      <c r="V20" s="22">
        <v>12</v>
      </c>
      <c r="W20" s="22">
        <v>9</v>
      </c>
      <c r="X20" s="22">
        <v>12</v>
      </c>
      <c r="Y20" s="13">
        <v>35</v>
      </c>
      <c r="Z20" s="22">
        <f t="shared" si="27"/>
        <v>0.75</v>
      </c>
      <c r="AA20" s="13">
        <v>14</v>
      </c>
      <c r="AB20" s="13">
        <v>4</v>
      </c>
      <c r="AC20" s="13">
        <v>56</v>
      </c>
      <c r="AD20" s="13">
        <f t="shared" si="28"/>
        <v>48</v>
      </c>
      <c r="AE20" s="13">
        <f t="shared" si="29"/>
        <v>1960</v>
      </c>
      <c r="AG20" s="28" t="s">
        <v>75</v>
      </c>
    </row>
    <row r="21" spans="1:33" x14ac:dyDescent="0.25">
      <c r="A21" s="10" t="e">
        <f>IF(#REF!=0,"Hide","Show")</f>
        <v>#REF!</v>
      </c>
      <c r="B21" s="32" t="s">
        <v>70</v>
      </c>
      <c r="C21" s="33" t="s">
        <v>88</v>
      </c>
      <c r="D21" s="34">
        <v>12</v>
      </c>
      <c r="E21" s="34">
        <v>750</v>
      </c>
      <c r="F21" s="34" t="s">
        <v>82</v>
      </c>
      <c r="G21" s="34" t="s">
        <v>84</v>
      </c>
      <c r="H21" s="35" t="s">
        <v>89</v>
      </c>
      <c r="I21" s="35" t="s">
        <v>89</v>
      </c>
      <c r="J21" s="13" t="s">
        <v>81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12</v>
      </c>
      <c r="O21" s="13" t="str">
        <f t="shared" ref="O21" si="30">IF(LEN(Q21)=12,"UPC",IF(LEN(Q21)&gt;12,"EAN",""))</f>
        <v>UPC</v>
      </c>
      <c r="P21" s="13" t="str">
        <f t="shared" ref="P21" si="31">IF(ISNUMBER(SEARCH("Gift",AG21)),"Gift Box","")</f>
        <v/>
      </c>
      <c r="Q21" s="36" t="s">
        <v>123</v>
      </c>
      <c r="R21" s="36" t="s">
        <v>105</v>
      </c>
      <c r="S21" s="22">
        <v>3.03</v>
      </c>
      <c r="T21" s="22">
        <v>11</v>
      </c>
      <c r="U21" s="22">
        <v>2.9166699999999999</v>
      </c>
      <c r="V21" s="22">
        <v>12</v>
      </c>
      <c r="W21" s="22">
        <v>9</v>
      </c>
      <c r="X21" s="22">
        <v>12</v>
      </c>
      <c r="Y21" s="13">
        <v>35</v>
      </c>
      <c r="Z21" s="22">
        <f t="shared" ref="Z21" si="32">IF(V21&gt;0,(V21*W21*X21)/1728,"")</f>
        <v>0.75</v>
      </c>
      <c r="AA21" s="13">
        <v>14</v>
      </c>
      <c r="AB21" s="13">
        <v>4</v>
      </c>
      <c r="AC21" s="13">
        <v>56</v>
      </c>
      <c r="AD21" s="13">
        <f t="shared" ref="AD21" si="33">IF(AB21&gt;0,AB21*X21,"")</f>
        <v>48</v>
      </c>
      <c r="AE21" s="13">
        <f t="shared" ref="AE21" si="34">IF(Y21&gt;0,Y21*(AA21*AB21),"")</f>
        <v>1960</v>
      </c>
      <c r="AG21" s="28" t="s">
        <v>75</v>
      </c>
    </row>
    <row r="22" spans="1:33" x14ac:dyDescent="0.25">
      <c r="A22" s="10" t="e">
        <f>IF(#REF!=0,"Hide","Show")</f>
        <v>#REF!</v>
      </c>
      <c r="B22" s="32" t="s">
        <v>70</v>
      </c>
      <c r="C22" s="33" t="s">
        <v>90</v>
      </c>
      <c r="D22" s="34">
        <v>12</v>
      </c>
      <c r="E22" s="34">
        <v>750</v>
      </c>
      <c r="F22" s="34" t="s">
        <v>77</v>
      </c>
      <c r="G22" s="34" t="s">
        <v>78</v>
      </c>
      <c r="H22" s="35" t="s">
        <v>85</v>
      </c>
      <c r="I22" s="35" t="s">
        <v>91</v>
      </c>
      <c r="J22" s="13" t="s">
        <v>81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12.5</v>
      </c>
      <c r="O22" s="13" t="str">
        <f t="shared" si="25"/>
        <v>UPC</v>
      </c>
      <c r="P22" s="13" t="str">
        <f t="shared" si="26"/>
        <v/>
      </c>
      <c r="Q22" s="36" t="s">
        <v>124</v>
      </c>
      <c r="R22" s="36" t="s">
        <v>106</v>
      </c>
      <c r="S22" s="22">
        <v>3.04</v>
      </c>
      <c r="T22" s="22">
        <v>13</v>
      </c>
      <c r="U22" s="22">
        <v>2.9166699999999999</v>
      </c>
      <c r="V22" s="22">
        <v>13</v>
      </c>
      <c r="W22" s="22">
        <v>9</v>
      </c>
      <c r="X22" s="22">
        <v>14</v>
      </c>
      <c r="Y22" s="13">
        <v>35</v>
      </c>
      <c r="Z22" s="22">
        <f t="shared" si="27"/>
        <v>0.94791666666666663</v>
      </c>
      <c r="AA22" s="13">
        <v>14</v>
      </c>
      <c r="AB22" s="13">
        <v>4</v>
      </c>
      <c r="AC22" s="13">
        <v>56</v>
      </c>
      <c r="AD22" s="13">
        <f t="shared" si="28"/>
        <v>56</v>
      </c>
      <c r="AE22" s="13">
        <f t="shared" si="29"/>
        <v>1960</v>
      </c>
      <c r="AG22" s="28" t="s">
        <v>75</v>
      </c>
    </row>
    <row r="23" spans="1:33" x14ac:dyDescent="0.25">
      <c r="A23" s="10" t="e">
        <f>IF(#REF!=0,"Hide","Show")</f>
        <v>#REF!</v>
      </c>
      <c r="B23" s="32" t="s">
        <v>70</v>
      </c>
      <c r="C23" s="33" t="s">
        <v>92</v>
      </c>
      <c r="D23" s="34">
        <v>12</v>
      </c>
      <c r="E23" s="34">
        <v>750</v>
      </c>
      <c r="F23" s="34" t="s">
        <v>82</v>
      </c>
      <c r="G23" s="34" t="s">
        <v>84</v>
      </c>
      <c r="H23" s="35" t="s">
        <v>93</v>
      </c>
      <c r="I23" s="35" t="s">
        <v>94</v>
      </c>
      <c r="J23" s="13" t="s">
        <v>81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12.5</v>
      </c>
      <c r="O23" s="13" t="str">
        <f t="shared" si="25"/>
        <v>UPC</v>
      </c>
      <c r="P23" s="13" t="str">
        <f t="shared" si="26"/>
        <v/>
      </c>
      <c r="Q23" s="36" t="s">
        <v>125</v>
      </c>
      <c r="R23" s="36" t="s">
        <v>107</v>
      </c>
      <c r="S23" s="22">
        <v>3.04</v>
      </c>
      <c r="T23" s="22">
        <v>13</v>
      </c>
      <c r="U23" s="22">
        <v>2.9166699999999999</v>
      </c>
      <c r="V23" s="22">
        <v>13</v>
      </c>
      <c r="W23" s="22">
        <v>9</v>
      </c>
      <c r="X23" s="22">
        <v>13</v>
      </c>
      <c r="Y23" s="13">
        <v>35</v>
      </c>
      <c r="Z23" s="22">
        <f t="shared" si="27"/>
        <v>0.88020833333333337</v>
      </c>
      <c r="AA23" s="13">
        <v>14</v>
      </c>
      <c r="AB23" s="13">
        <v>4</v>
      </c>
      <c r="AC23" s="13">
        <v>56</v>
      </c>
      <c r="AD23" s="13">
        <f t="shared" si="28"/>
        <v>52</v>
      </c>
      <c r="AE23" s="13">
        <f t="shared" si="29"/>
        <v>1960</v>
      </c>
      <c r="AG23" s="28" t="s">
        <v>75</v>
      </c>
    </row>
    <row r="24" spans="1:33" ht="6" customHeight="1" x14ac:dyDescent="0.25">
      <c r="B24" s="15"/>
      <c r="C24" s="12"/>
      <c r="D24" s="12"/>
      <c r="E24" s="12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4"/>
      <c r="T24" s="24"/>
      <c r="U24" s="24"/>
      <c r="V24" s="24"/>
      <c r="W24" s="24"/>
      <c r="X24" s="24"/>
      <c r="Y24" s="12"/>
      <c r="Z24" s="12"/>
      <c r="AA24" s="12"/>
      <c r="AB24" s="12"/>
      <c r="AC24" s="12"/>
      <c r="AD24" s="12"/>
      <c r="AE24" s="12"/>
      <c r="AG24" s="27"/>
    </row>
    <row r="25" spans="1:33" x14ac:dyDescent="0.25">
      <c r="B25" s="21" t="str">
        <f>"TENUTA FILODORA"</f>
        <v>TENUTA FILODORA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3"/>
      <c r="T25" s="23"/>
      <c r="U25" s="23"/>
      <c r="V25" s="23"/>
      <c r="W25" s="23"/>
      <c r="X25" s="23"/>
      <c r="Y25" s="11"/>
      <c r="Z25" s="11"/>
      <c r="AA25" s="11"/>
      <c r="AB25" s="11"/>
      <c r="AC25" s="11"/>
      <c r="AD25" s="11"/>
      <c r="AE25" s="11"/>
      <c r="AG25" s="28"/>
    </row>
    <row r="26" spans="1:33" x14ac:dyDescent="0.25">
      <c r="A26" s="10" t="e">
        <f>IF(#REF!=0,"Hide","Show")</f>
        <v>#REF!</v>
      </c>
      <c r="B26" s="32" t="s">
        <v>70</v>
      </c>
      <c r="C26" s="33" t="s">
        <v>95</v>
      </c>
      <c r="D26" s="34">
        <v>12</v>
      </c>
      <c r="E26" s="34">
        <v>750</v>
      </c>
      <c r="F26" s="34" t="s">
        <v>96</v>
      </c>
      <c r="G26" s="34" t="s">
        <v>84</v>
      </c>
      <c r="H26" s="35" t="s">
        <v>97</v>
      </c>
      <c r="I26" s="35" t="s">
        <v>98</v>
      </c>
      <c r="J26" s="13" t="s">
        <v>81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11.5</v>
      </c>
      <c r="O26" s="13" t="str">
        <f t="shared" ref="O26" si="35">IF(LEN(Q26)=12,"UPC",IF(LEN(Q26)&gt;12,"EAN",""))</f>
        <v>UPC</v>
      </c>
      <c r="P26" s="13" t="str">
        <f t="shared" ref="P26" si="36">IF(ISNUMBER(SEARCH("Gift",AG26)),"Gift Box","")</f>
        <v/>
      </c>
      <c r="Q26" s="36" t="s">
        <v>126</v>
      </c>
      <c r="R26" s="36" t="s">
        <v>108</v>
      </c>
      <c r="S26" s="22">
        <v>3.6</v>
      </c>
      <c r="T26" s="22">
        <v>12</v>
      </c>
      <c r="U26" s="22">
        <v>3.67</v>
      </c>
      <c r="V26" s="22">
        <v>13</v>
      </c>
      <c r="W26" s="22">
        <v>8</v>
      </c>
      <c r="X26" s="22">
        <v>14</v>
      </c>
      <c r="Y26" s="13">
        <v>44</v>
      </c>
      <c r="Z26" s="22">
        <f t="shared" ref="Z26" si="37">IF(V26&gt;0,(V26*W26*X26)/1728,"")</f>
        <v>0.84259259259259256</v>
      </c>
      <c r="AA26" s="13">
        <v>10</v>
      </c>
      <c r="AB26" s="13">
        <v>5</v>
      </c>
      <c r="AC26" s="13">
        <v>50</v>
      </c>
      <c r="AD26" s="13">
        <f t="shared" ref="AD26" si="38">IF(AB26&gt;0,AB26*X26,"")</f>
        <v>70</v>
      </c>
      <c r="AE26" s="13">
        <f t="shared" ref="AE26" si="39">IF(Y26&gt;0,Y26*(AA26*AB26),"")</f>
        <v>2200</v>
      </c>
      <c r="AG26" s="28" t="s">
        <v>75</v>
      </c>
    </row>
    <row r="27" spans="1:33" ht="6" customHeight="1" x14ac:dyDescent="0.25">
      <c r="B27" s="15"/>
      <c r="C27" s="12"/>
      <c r="D27" s="12"/>
      <c r="E27" s="12"/>
      <c r="F27" s="19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4"/>
      <c r="T27" s="24"/>
      <c r="U27" s="24"/>
      <c r="V27" s="24"/>
      <c r="W27" s="24"/>
      <c r="X27" s="24"/>
      <c r="Y27" s="12"/>
      <c r="Z27" s="12"/>
      <c r="AA27" s="12"/>
      <c r="AB27" s="12"/>
      <c r="AC27" s="12"/>
      <c r="AD27" s="12"/>
      <c r="AE27" s="12"/>
      <c r="AG27" s="27"/>
    </row>
    <row r="28" spans="1:33" x14ac:dyDescent="0.25">
      <c r="B28" s="16"/>
      <c r="C28" s="20"/>
      <c r="D28" s="17"/>
      <c r="E28" s="20"/>
      <c r="F28" s="17"/>
      <c r="G28" s="17"/>
      <c r="H28" s="17"/>
      <c r="I28" s="17"/>
      <c r="J28" s="17"/>
      <c r="K28" s="17"/>
      <c r="L28" s="17"/>
      <c r="M28" s="17"/>
      <c r="N28" s="20"/>
      <c r="O28" s="20"/>
      <c r="P28" s="20"/>
      <c r="Q28" s="20"/>
      <c r="R28" s="20"/>
      <c r="S28" s="25"/>
      <c r="T28" s="25"/>
      <c r="U28" s="25"/>
      <c r="V28" s="25"/>
      <c r="W28" s="25"/>
      <c r="X28" s="25"/>
      <c r="Y28" s="20"/>
      <c r="Z28" s="20"/>
      <c r="AA28" s="20"/>
      <c r="AB28" s="20"/>
      <c r="AC28" s="20"/>
      <c r="AD28" s="20"/>
      <c r="AE28" s="20"/>
      <c r="AG28" s="27"/>
    </row>
    <row r="29" spans="1:33" ht="6" customHeight="1" x14ac:dyDescent="0.25"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3"/>
      <c r="T29" s="23"/>
      <c r="U29" s="23"/>
      <c r="V29" s="23"/>
      <c r="W29" s="23"/>
      <c r="X29" s="23"/>
      <c r="Y29" s="11"/>
      <c r="Z29" s="11"/>
      <c r="AA29" s="11"/>
      <c r="AB29" s="11"/>
      <c r="AC29" s="11"/>
      <c r="AD29" s="11"/>
      <c r="AE29" s="11"/>
      <c r="AG29" s="27"/>
    </row>
    <row r="30" spans="1:33" x14ac:dyDescent="0.25">
      <c r="B30" s="10"/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8"/>
      <c r="T31" s="8"/>
      <c r="U31" s="8"/>
      <c r="V31" s="8"/>
      <c r="W31" s="8"/>
      <c r="X31" s="8"/>
      <c r="Y31" s="18"/>
      <c r="Z31" s="18"/>
      <c r="AA31" s="18"/>
      <c r="AB31" s="18"/>
      <c r="AC31" s="18"/>
      <c r="AD31" s="18"/>
      <c r="AE31" s="18"/>
      <c r="AG31" s="27"/>
    </row>
    <row r="32" spans="1:33" x14ac:dyDescent="0.25"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5:33" x14ac:dyDescent="0.25"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5:33" x14ac:dyDescent="0.25">
      <c r="E34" s="10"/>
      <c r="N34" s="10"/>
      <c r="O34" s="10"/>
      <c r="P34" s="10"/>
      <c r="Q34" s="10"/>
      <c r="R34" s="10"/>
      <c r="S34" s="6"/>
      <c r="T34" s="6"/>
      <c r="U34" s="6"/>
      <c r="V34" s="6"/>
      <c r="W34" s="6"/>
      <c r="X34" s="6"/>
      <c r="Y34" s="10"/>
      <c r="Z34" s="10"/>
      <c r="AA34" s="10"/>
      <c r="AB34" s="10"/>
      <c r="AD34" s="10"/>
      <c r="AE34" s="10"/>
      <c r="AG34" s="27"/>
    </row>
    <row r="35" spans="5:33" x14ac:dyDescent="0.25">
      <c r="E35" s="10"/>
      <c r="N35" s="10"/>
      <c r="O35" s="10"/>
      <c r="P35" s="10"/>
      <c r="Q35" s="10"/>
      <c r="R35" s="10"/>
      <c r="S35" s="6"/>
      <c r="T35" s="6"/>
      <c r="U35" s="6"/>
      <c r="V35" s="6"/>
      <c r="W35" s="6"/>
      <c r="X35" s="6"/>
      <c r="Y35" s="10"/>
      <c r="Z35" s="10"/>
      <c r="AA35" s="10"/>
      <c r="AB35" s="10"/>
      <c r="AD35" s="10"/>
      <c r="AE35" s="10"/>
      <c r="AG35" s="27"/>
    </row>
    <row r="36" spans="5:33" x14ac:dyDescent="0.25">
      <c r="AG36" s="27"/>
    </row>
    <row r="37" spans="5:33" x14ac:dyDescent="0.25">
      <c r="AG37" s="27"/>
    </row>
    <row r="38" spans="5:33" x14ac:dyDescent="0.25">
      <c r="AG38" s="27"/>
    </row>
    <row r="39" spans="5:33" x14ac:dyDescent="0.25">
      <c r="AG39" s="27"/>
    </row>
    <row r="40" spans="5:33" x14ac:dyDescent="0.25">
      <c r="AG40" s="27"/>
    </row>
    <row r="41" spans="5:33" x14ac:dyDescent="0.25">
      <c r="AG41" s="27"/>
    </row>
    <row r="42" spans="5:33" x14ac:dyDescent="0.25">
      <c r="AG42" s="27"/>
    </row>
    <row r="43" spans="5:33" x14ac:dyDescent="0.25">
      <c r="AG43" s="27"/>
    </row>
    <row r="44" spans="5:33" x14ac:dyDescent="0.25">
      <c r="AG44" s="27"/>
    </row>
    <row r="45" spans="5:33" x14ac:dyDescent="0.25">
      <c r="AG45" s="27"/>
    </row>
    <row r="46" spans="5:33" x14ac:dyDescent="0.25">
      <c r="AG46" s="27"/>
    </row>
    <row r="47" spans="5:33" x14ac:dyDescent="0.25">
      <c r="AG47" s="27"/>
    </row>
    <row r="48" spans="5:33" x14ac:dyDescent="0.25">
      <c r="AG48" s="27"/>
    </row>
  </sheetData>
  <mergeCells count="1">
    <mergeCell ref="B1:C1"/>
  </mergeCells>
  <conditionalFormatting sqref="S5:Y5 AA5:AB5">
    <cfRule type="cellIs" dxfId="9" priority="13" operator="lessThan">
      <formula>0</formula>
    </cfRule>
  </conditionalFormatting>
  <conditionalFormatting sqref="S17:Y17 S26:Y26 AA17:AB17 AA26:AB26">
    <cfRule type="cellIs" dxfId="8" priority="12" operator="lessThan">
      <formula>0</formula>
    </cfRule>
  </conditionalFormatting>
  <conditionalFormatting sqref="S10:Y11 AA10:AB11 AA13:AB14 S13:Y14">
    <cfRule type="cellIs" dxfId="7" priority="11" operator="lessThan">
      <formula>0</formula>
    </cfRule>
  </conditionalFormatting>
  <conditionalFormatting sqref="S19:Y20 AA19:AB20 AA22:AB23 S22:Y23">
    <cfRule type="cellIs" dxfId="5" priority="8" operator="lessThan">
      <formula>0</formula>
    </cfRule>
  </conditionalFormatting>
  <conditionalFormatting sqref="S6:Y9 AA6:AB9">
    <cfRule type="cellIs" dxfId="4" priority="7" operator="lessThan">
      <formula>0</formula>
    </cfRule>
  </conditionalFormatting>
  <conditionalFormatting sqref="S12:Y12 AA12:AB12">
    <cfRule type="cellIs" dxfId="3" priority="6" operator="lessThan">
      <formula>0</formula>
    </cfRule>
  </conditionalFormatting>
  <conditionalFormatting sqref="S18:Y18 AA18:AB18">
    <cfRule type="cellIs" dxfId="1" priority="2" operator="lessThan">
      <formula>0</formula>
    </cfRule>
  </conditionalFormatting>
  <conditionalFormatting sqref="S21:Y21 AA21:AB21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